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308"/>
  <workbookPr codeName="ThisWorkbook" autoCompressPictures="0"/>
  <workbookProtection workbookAlgorithmName="SHA-512" workbookHashValue="XAbClC/0BZvysv/2qXPGgIC+P+JmCixxMDgTiMpfyiMzHtdP+8jlxQT371+XzS1X5tWzI92nMCtxuWwGML5Pdg==" workbookSaltValue="t31e9yFI6UuW7ZET8TyZeQ==" workbookSpinCount="100000" lockStructure="1"/>
  <bookViews>
    <workbookView xWindow="0" yWindow="0" windowWidth="25420" windowHeight="14720" tabRatio="749"/>
  </bookViews>
  <sheets>
    <sheet name="Inicio" sheetId="30" r:id="rId1"/>
    <sheet name="COPA AMERICA" sheetId="3" r:id="rId2"/>
    <sheet name="Apuesta" sheetId="31" r:id="rId3"/>
    <sheet name="Print" sheetId="29" r:id="rId4"/>
    <sheet name="Equipos" sheetId="6" state="veryHidden" r:id="rId5"/>
    <sheet name="Creditos" sheetId="11" r:id="rId6"/>
  </sheets>
  <externalReferences>
    <externalReference r:id="rId7"/>
  </externalReferences>
  <definedNames>
    <definedName name="_xlnm._FilterDatabase" localSheetId="1" hidden="1">'COPA AMERICA'!$BP$56:$BS$69</definedName>
    <definedName name="·······">Equipos!$A$2:$D$13</definedName>
    <definedName name="_xlnm.Print_Area" localSheetId="1">'COPA AMERICA'!$D$1:$AW$144</definedName>
    <definedName name="_xlnm.Print_Area" localSheetId="3">Print!$A$1:$AI$64</definedName>
    <definedName name="egc">'COPA AMERICA'!$JBH$3</definedName>
    <definedName name="gwgvftwvn">Equipos!$A$2:$D$13</definedName>
    <definedName name="mat">'COPA AMERICA'!$BM$13</definedName>
    <definedName name="Nivell">Equipos!$C$2:$C$13</definedName>
    <definedName name="NombreEquipo">Equipos!$B$2:$B$13</definedName>
    <definedName name="OK">Equipos!$A$2:$A$13</definedName>
    <definedName name="otro">[1]!Tabla3[#Data]</definedName>
    <definedName name="Rank">Equipos!$D$2:$D$13</definedName>
  </definedNames>
  <calcPr calcId="140001" concurrentCalc="0"/>
  <fileRecoveryPr autoRecover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4" i="3" l="1"/>
  <c r="Q12" i="3"/>
  <c r="G2" i="3"/>
  <c r="B2" i="6"/>
  <c r="B3" i="6"/>
  <c r="B4" i="6"/>
  <c r="B5" i="6"/>
  <c r="B6" i="6"/>
  <c r="B7" i="6"/>
  <c r="B8" i="6"/>
  <c r="B9" i="6"/>
  <c r="B10" i="6"/>
  <c r="B11" i="6"/>
  <c r="B12" i="6"/>
  <c r="B13" i="6"/>
  <c r="G51" i="3"/>
  <c r="G48" i="3"/>
  <c r="G44" i="3"/>
  <c r="G38" i="3"/>
  <c r="K38" i="3"/>
  <c r="L38" i="3"/>
  <c r="G19" i="3"/>
  <c r="H19" i="3"/>
  <c r="I19" i="3"/>
  <c r="K19" i="3"/>
  <c r="L19" i="3"/>
  <c r="N19" i="3"/>
  <c r="G11" i="3"/>
  <c r="H11" i="3"/>
  <c r="I11" i="3"/>
  <c r="K11" i="3"/>
  <c r="L11" i="3"/>
  <c r="N11" i="3"/>
  <c r="B16" i="29"/>
  <c r="M23" i="29"/>
  <c r="M24" i="29"/>
  <c r="M25" i="29"/>
  <c r="O22" i="29"/>
  <c r="P22" i="29"/>
  <c r="R22" i="29"/>
  <c r="M22" i="29"/>
  <c r="C1" i="29"/>
  <c r="S34" i="29"/>
  <c r="P34" i="29"/>
  <c r="S31" i="29"/>
  <c r="P31" i="29"/>
  <c r="R31" i="29"/>
  <c r="Q31" i="29"/>
  <c r="R34" i="29"/>
  <c r="Q34" i="29"/>
  <c r="Z34" i="29"/>
  <c r="AD39" i="29"/>
  <c r="AD29" i="29"/>
  <c r="Z33" i="29"/>
  <c r="AD38" i="29"/>
  <c r="AD28" i="29"/>
  <c r="AA34" i="29"/>
  <c r="AE39" i="29"/>
  <c r="AE29" i="29"/>
  <c r="AA33" i="29"/>
  <c r="AE38" i="29"/>
  <c r="AE28" i="29"/>
  <c r="J34" i="29"/>
  <c r="J33" i="29"/>
  <c r="I34" i="29"/>
  <c r="I33" i="29"/>
  <c r="E39" i="29"/>
  <c r="E38" i="29"/>
  <c r="D39" i="29"/>
  <c r="D38" i="29"/>
  <c r="E29" i="29"/>
  <c r="E28" i="29"/>
  <c r="D29" i="29"/>
  <c r="D28" i="29"/>
  <c r="Z8" i="29"/>
  <c r="AA8" i="29"/>
  <c r="Z9" i="29"/>
  <c r="AA9" i="29"/>
  <c r="Z10" i="29"/>
  <c r="AA10" i="29"/>
  <c r="Z11" i="29"/>
  <c r="AA11" i="29"/>
  <c r="Z12" i="29"/>
  <c r="AA12" i="29"/>
  <c r="AA7" i="29"/>
  <c r="Z7" i="29"/>
  <c r="O8" i="29"/>
  <c r="P8" i="29"/>
  <c r="O9" i="29"/>
  <c r="P9" i="29"/>
  <c r="O10" i="29"/>
  <c r="P10" i="29"/>
  <c r="O11" i="29"/>
  <c r="P11" i="29"/>
  <c r="O12" i="29"/>
  <c r="P12" i="29"/>
  <c r="P7" i="29"/>
  <c r="O7" i="29"/>
  <c r="D8" i="29"/>
  <c r="E8" i="29"/>
  <c r="D9" i="29"/>
  <c r="E9" i="29"/>
  <c r="D10" i="29"/>
  <c r="E10" i="29"/>
  <c r="D11" i="29"/>
  <c r="E11" i="29"/>
  <c r="D12" i="29"/>
  <c r="E12" i="29"/>
  <c r="E7" i="29"/>
  <c r="D7" i="29"/>
  <c r="B15" i="29"/>
  <c r="D15" i="29"/>
  <c r="E15" i="29"/>
  <c r="G15" i="29"/>
  <c r="M15" i="29"/>
  <c r="O15" i="29"/>
  <c r="P15" i="29"/>
  <c r="R15" i="29"/>
  <c r="X15" i="29"/>
  <c r="Z15" i="29"/>
  <c r="AA15" i="29"/>
  <c r="AC15" i="29"/>
  <c r="X17" i="29"/>
  <c r="X18" i="29"/>
  <c r="X19" i="29"/>
  <c r="X16" i="29"/>
  <c r="M17" i="29"/>
  <c r="M18" i="29"/>
  <c r="M19" i="29"/>
  <c r="M16" i="29"/>
  <c r="B17" i="29"/>
  <c r="B18" i="29"/>
  <c r="B19" i="29"/>
  <c r="C19" i="31"/>
  <c r="C20" i="31"/>
  <c r="C21" i="31"/>
  <c r="C22" i="31"/>
  <c r="C23" i="31"/>
  <c r="C18" i="31"/>
  <c r="C13" i="31"/>
  <c r="C14" i="31"/>
  <c r="C15" i="31"/>
  <c r="C16" i="31"/>
  <c r="C17" i="31"/>
  <c r="C12" i="31"/>
  <c r="C7" i="31"/>
  <c r="C8" i="31"/>
  <c r="C9" i="31"/>
  <c r="C10" i="31"/>
  <c r="C11" i="31"/>
  <c r="C6" i="31"/>
  <c r="B85" i="31"/>
  <c r="B83" i="31"/>
  <c r="B81" i="31"/>
  <c r="C3" i="31"/>
  <c r="B84" i="31"/>
  <c r="B82" i="31"/>
  <c r="B80" i="31"/>
  <c r="O63" i="3"/>
  <c r="O60" i="3"/>
  <c r="O61" i="3"/>
  <c r="G4" i="3"/>
  <c r="F44" i="3"/>
  <c r="F51" i="3"/>
  <c r="F48" i="3"/>
  <c r="Q22" i="29"/>
  <c r="Q15" i="29"/>
  <c r="AB15" i="29"/>
  <c r="F15" i="29"/>
  <c r="V22" i="29"/>
  <c r="V15" i="29"/>
  <c r="AG15" i="29"/>
  <c r="K15" i="29"/>
  <c r="N60" i="29"/>
  <c r="C83" i="31"/>
  <c r="F19" i="3"/>
  <c r="F38" i="3"/>
  <c r="F11" i="3"/>
  <c r="U22" i="29"/>
  <c r="U15" i="29"/>
  <c r="AF15" i="29"/>
  <c r="J15" i="29"/>
  <c r="O59" i="3"/>
  <c r="N22" i="29"/>
  <c r="N15" i="29"/>
  <c r="Y15" i="29"/>
  <c r="C15" i="29"/>
  <c r="AE15" i="29"/>
  <c r="T22" i="29"/>
  <c r="T15" i="29"/>
  <c r="I15" i="29"/>
  <c r="C85" i="31"/>
  <c r="N64" i="29"/>
  <c r="AD15" i="29"/>
  <c r="S22" i="29"/>
  <c r="S15" i="29"/>
  <c r="H15" i="29"/>
  <c r="N62" i="29"/>
  <c r="C84" i="31"/>
  <c r="G9" i="3"/>
  <c r="G21" i="3"/>
  <c r="G39" i="3"/>
  <c r="G8" i="3"/>
  <c r="G20" i="3"/>
  <c r="G40" i="3"/>
  <c r="G25" i="3"/>
  <c r="G15" i="3"/>
  <c r="G45" i="3"/>
  <c r="G24" i="3"/>
  <c r="G14" i="3"/>
  <c r="G49" i="3"/>
  <c r="G7" i="3"/>
  <c r="G23" i="3"/>
  <c r="G17" i="3"/>
  <c r="G13" i="3"/>
  <c r="G42" i="3"/>
  <c r="G52" i="3"/>
  <c r="G6" i="3"/>
  <c r="G22" i="3"/>
  <c r="G16" i="3"/>
  <c r="G12" i="3"/>
  <c r="G41" i="3"/>
  <c r="G46" i="3"/>
  <c r="G5" i="3"/>
  <c r="O25" i="3"/>
  <c r="O24" i="3"/>
  <c r="O23" i="3"/>
  <c r="O22" i="3"/>
  <c r="O21" i="3"/>
  <c r="DA20" i="3"/>
  <c r="CZ20" i="3"/>
  <c r="Q20" i="3"/>
  <c r="O20" i="3"/>
  <c r="C20" i="3"/>
  <c r="AY20" i="3"/>
  <c r="AH20" i="3"/>
  <c r="AH12" i="3"/>
  <c r="AH4" i="3"/>
  <c r="C12" i="3"/>
  <c r="O17" i="3"/>
  <c r="O16" i="3"/>
  <c r="O15" i="3"/>
  <c r="O14" i="3"/>
  <c r="O13" i="3"/>
  <c r="DA12" i="3"/>
  <c r="CZ12" i="3"/>
  <c r="AY12" i="3"/>
  <c r="O12" i="3"/>
  <c r="C4" i="3"/>
  <c r="AW8" i="3"/>
  <c r="AW6" i="3"/>
  <c r="AW5" i="3"/>
  <c r="AW4" i="3"/>
  <c r="AW3" i="3"/>
  <c r="O4" i="3"/>
  <c r="O5" i="3"/>
  <c r="O6" i="3"/>
  <c r="O7" i="3"/>
  <c r="O8" i="3"/>
  <c r="O9" i="3"/>
  <c r="AY4" i="3"/>
  <c r="CZ4" i="3"/>
  <c r="DA4" i="3"/>
  <c r="AW7" i="3"/>
  <c r="A24" i="3" a="1"/>
  <c r="A14" i="3" a="1"/>
  <c r="A22" i="3" a="1"/>
  <c r="A21" i="3" a="1"/>
  <c r="A7" i="3" a="1"/>
  <c r="A8" i="3" a="1"/>
  <c r="A23" i="3" a="1"/>
  <c r="A6" i="3" a="1"/>
  <c r="A5" i="3" a="1"/>
  <c r="A13" i="3" a="1"/>
  <c r="A15" i="3" a="1"/>
  <c r="A16" i="3" a="1"/>
  <c r="A23" i="3"/>
  <c r="A16" i="3"/>
  <c r="A7" i="3"/>
  <c r="A14" i="3"/>
  <c r="A15" i="3"/>
  <c r="A6" i="3"/>
  <c r="A13" i="3"/>
  <c r="A5" i="3"/>
  <c r="A8" i="3"/>
  <c r="A21" i="3"/>
  <c r="A22" i="3"/>
  <c r="A24" i="3"/>
  <c r="I14" i="3"/>
  <c r="BP14" i="3"/>
  <c r="AI14" i="3"/>
  <c r="I12" i="3"/>
  <c r="N16" i="3"/>
  <c r="Q11" i="29"/>
  <c r="I9" i="3"/>
  <c r="N4" i="3"/>
  <c r="F7" i="29"/>
  <c r="AI7" i="3"/>
  <c r="BP7" i="3"/>
  <c r="I7" i="3"/>
  <c r="N21" i="3"/>
  <c r="AB8" i="29"/>
  <c r="N23" i="3"/>
  <c r="AB10" i="29"/>
  <c r="AI25" i="3"/>
  <c r="I24" i="3"/>
  <c r="BP25" i="3"/>
  <c r="N12" i="3"/>
  <c r="Q7" i="29"/>
  <c r="BP15" i="3"/>
  <c r="I15" i="3"/>
  <c r="AI15" i="3"/>
  <c r="I17" i="3"/>
  <c r="AI23" i="3"/>
  <c r="N20" i="3"/>
  <c r="AB7" i="29"/>
  <c r="I23" i="3"/>
  <c r="I25" i="3"/>
  <c r="BP23" i="3"/>
  <c r="AI22" i="3"/>
  <c r="I22" i="3"/>
  <c r="I20" i="3"/>
  <c r="BP22" i="3"/>
  <c r="N24" i="3"/>
  <c r="AB11" i="29"/>
  <c r="I16" i="3"/>
  <c r="AI17" i="3"/>
  <c r="N15" i="3"/>
  <c r="Q10" i="29"/>
  <c r="BP17" i="3"/>
  <c r="N13" i="3"/>
  <c r="Q8" i="29"/>
  <c r="AI6" i="3"/>
  <c r="BP6" i="3"/>
  <c r="I4" i="3"/>
  <c r="N8" i="3"/>
  <c r="F11" i="29"/>
  <c r="I6" i="3"/>
  <c r="BP16" i="3"/>
  <c r="AI16" i="3"/>
  <c r="N17" i="3"/>
  <c r="Q12" i="29"/>
  <c r="N14" i="3"/>
  <c r="Q9" i="29"/>
  <c r="I13" i="3"/>
  <c r="BP8" i="3"/>
  <c r="N9" i="3"/>
  <c r="F12" i="29"/>
  <c r="N6" i="3"/>
  <c r="F9" i="29"/>
  <c r="I5" i="3"/>
  <c r="AI8" i="3"/>
  <c r="N5" i="3"/>
  <c r="F8" i="29"/>
  <c r="AI9" i="3"/>
  <c r="N7" i="3"/>
  <c r="F10" i="29"/>
  <c r="BP9" i="3"/>
  <c r="I8" i="3"/>
  <c r="AI24" i="3"/>
  <c r="BP24" i="3"/>
  <c r="I21" i="3"/>
  <c r="N25" i="3"/>
  <c r="AB12" i="29"/>
  <c r="N22" i="3"/>
  <c r="AB9" i="29"/>
  <c r="N11" i="29"/>
  <c r="B16" i="31"/>
  <c r="B21" i="31"/>
  <c r="Y10" i="29"/>
  <c r="Y11" i="29"/>
  <c r="B22" i="31"/>
  <c r="C12" i="29"/>
  <c r="B11" i="31"/>
  <c r="AY24" i="3"/>
  <c r="AP24" i="3" a="1"/>
  <c r="AP24" i="3"/>
  <c r="AO24" i="3" a="1"/>
  <c r="AO24" i="3"/>
  <c r="AK24" i="3"/>
  <c r="AO7" i="3" a="1"/>
  <c r="AO7" i="3"/>
  <c r="AP7" i="3" a="1"/>
  <c r="AP7" i="3"/>
  <c r="AK7" i="3"/>
  <c r="AY7" i="3"/>
  <c r="N8" i="29"/>
  <c r="B13" i="31"/>
  <c r="AY23" i="3"/>
  <c r="AP23" i="3" a="1"/>
  <c r="AP23" i="3"/>
  <c r="AK23" i="3"/>
  <c r="AO23" i="3" a="1"/>
  <c r="AO23" i="3"/>
  <c r="AK25" i="3"/>
  <c r="AO25" i="3" a="1"/>
  <c r="AO25" i="3"/>
  <c r="AY25" i="3"/>
  <c r="AP25" i="3" a="1"/>
  <c r="AP25" i="3"/>
  <c r="B8" i="31"/>
  <c r="C9" i="29"/>
  <c r="C11" i="29"/>
  <c r="B10" i="31"/>
  <c r="AP6" i="3" a="1"/>
  <c r="AP6" i="3"/>
  <c r="AK6" i="3"/>
  <c r="AO6" i="3" a="1"/>
  <c r="AO6" i="3"/>
  <c r="AY6" i="3"/>
  <c r="AN22" i="3" a="1"/>
  <c r="AN22" i="3"/>
  <c r="AM22" i="3" a="1"/>
  <c r="AM22" i="3"/>
  <c r="AL22" i="3" a="1"/>
  <c r="AL22" i="3"/>
  <c r="AM23" i="3" a="1"/>
  <c r="AM23" i="3"/>
  <c r="AN25" i="3" a="1"/>
  <c r="AN25" i="3"/>
  <c r="B18" i="31"/>
  <c r="AL24" i="3" a="1"/>
  <c r="AL24" i="3"/>
  <c r="AM24" i="3" a="1"/>
  <c r="AM24" i="3"/>
  <c r="Y7" i="29"/>
  <c r="AL23" i="3" a="1"/>
  <c r="AL23" i="3"/>
  <c r="AN23" i="3" a="1"/>
  <c r="AN23" i="3"/>
  <c r="AN24" i="3" a="1"/>
  <c r="AN24" i="3"/>
  <c r="AL25" i="3" a="1"/>
  <c r="AL25" i="3"/>
  <c r="AM25" i="3" a="1"/>
  <c r="AM25" i="3"/>
  <c r="B17" i="31"/>
  <c r="N12" i="29"/>
  <c r="AM14" i="3" a="1"/>
  <c r="AM14" i="3"/>
  <c r="AL17" i="3" a="1"/>
  <c r="AL17" i="3"/>
  <c r="AL15" i="3" a="1"/>
  <c r="AL15" i="3"/>
  <c r="B12" i="31"/>
  <c r="AL16" i="3" a="1"/>
  <c r="AL16" i="3"/>
  <c r="AN17" i="3" a="1"/>
  <c r="AN17" i="3"/>
  <c r="AL14" i="3" a="1"/>
  <c r="AL14" i="3"/>
  <c r="AN16" i="3" a="1"/>
  <c r="AN16" i="3"/>
  <c r="AN14" i="3" a="1"/>
  <c r="AN14" i="3"/>
  <c r="AN15" i="3" a="1"/>
  <c r="AN15" i="3"/>
  <c r="AM17" i="3" a="1"/>
  <c r="AM17" i="3"/>
  <c r="N7" i="29"/>
  <c r="AM15" i="3" a="1"/>
  <c r="AM15" i="3"/>
  <c r="AM16" i="3" a="1"/>
  <c r="AM16" i="3"/>
  <c r="AY9" i="3"/>
  <c r="AP9" i="3" a="1"/>
  <c r="AP9" i="3"/>
  <c r="AK9" i="3"/>
  <c r="AO9" i="3" a="1"/>
  <c r="AO9" i="3"/>
  <c r="AK14" i="3"/>
  <c r="AO14" i="3" a="1"/>
  <c r="AO14" i="3"/>
  <c r="AY14" i="3"/>
  <c r="AP14" i="3" a="1"/>
  <c r="AP14" i="3"/>
  <c r="B23" i="31"/>
  <c r="Y12" i="29"/>
  <c r="AL8" i="3" a="1"/>
  <c r="AL8" i="3"/>
  <c r="AL6" i="3" a="1"/>
  <c r="AL6" i="3"/>
  <c r="AN6" i="3" a="1"/>
  <c r="AN6" i="3"/>
  <c r="AM7" i="3" a="1"/>
  <c r="AM7" i="3"/>
  <c r="AN8" i="3" a="1"/>
  <c r="AN8" i="3"/>
  <c r="AM8" i="3" a="1"/>
  <c r="AM8" i="3"/>
  <c r="C7" i="29"/>
  <c r="AL9" i="3" a="1"/>
  <c r="AL9" i="3"/>
  <c r="AM9" i="3" a="1"/>
  <c r="AM9" i="3"/>
  <c r="AL7" i="3" a="1"/>
  <c r="AL7" i="3"/>
  <c r="AN7" i="3" a="1"/>
  <c r="AN7" i="3"/>
  <c r="AM6" i="3" a="1"/>
  <c r="AM6" i="3"/>
  <c r="AN9" i="3" a="1"/>
  <c r="AN9" i="3"/>
  <c r="B6" i="31"/>
  <c r="Y9" i="29"/>
  <c r="B20" i="31"/>
  <c r="AP15" i="3" a="1"/>
  <c r="AP15" i="3"/>
  <c r="AK15" i="3"/>
  <c r="AO15" i="3" a="1"/>
  <c r="AO15" i="3"/>
  <c r="AY15" i="3"/>
  <c r="B19" i="31"/>
  <c r="Y8" i="29"/>
  <c r="AY8" i="3"/>
  <c r="AO8" i="3" a="1"/>
  <c r="AO8" i="3"/>
  <c r="AK8" i="3"/>
  <c r="AP8" i="3" a="1"/>
  <c r="AP8" i="3"/>
  <c r="AY16" i="3"/>
  <c r="AP16" i="3" a="1"/>
  <c r="AP16" i="3"/>
  <c r="AK16" i="3"/>
  <c r="AO16" i="3" a="1"/>
  <c r="AO16" i="3"/>
  <c r="AY22" i="3"/>
  <c r="AO22" i="3" a="1"/>
  <c r="AO22" i="3"/>
  <c r="AK22" i="3"/>
  <c r="AP22" i="3" a="1"/>
  <c r="AP22" i="3"/>
  <c r="N10" i="29"/>
  <c r="B15" i="31"/>
  <c r="C10" i="29"/>
  <c r="B9" i="31"/>
  <c r="AO17" i="3" a="1"/>
  <c r="AO17" i="3"/>
  <c r="AY17" i="3"/>
  <c r="AK17" i="3"/>
  <c r="AP17" i="3" a="1"/>
  <c r="AP17" i="3"/>
  <c r="B7" i="31"/>
  <c r="C8" i="29"/>
  <c r="B14" i="31"/>
  <c r="N9" i="29"/>
  <c r="AQ15" i="3"/>
  <c r="AQ9" i="3"/>
  <c r="AQ7" i="3"/>
  <c r="AJ16" i="3"/>
  <c r="AJ25" i="3"/>
  <c r="AQ23" i="3"/>
  <c r="AJ15" i="3"/>
  <c r="AJ22" i="3"/>
  <c r="AQ16" i="3"/>
  <c r="AQ25" i="3"/>
  <c r="BE5" i="3"/>
  <c r="BK5" i="3"/>
  <c r="BD13" i="3"/>
  <c r="BJ13" i="3"/>
  <c r="BE13" i="3"/>
  <c r="BK13" i="3"/>
  <c r="AQ14" i="3"/>
  <c r="AJ6" i="3"/>
  <c r="AJ17" i="3"/>
  <c r="AJ23" i="3"/>
  <c r="AJ8" i="3"/>
  <c r="BE21" i="3"/>
  <c r="BK21" i="3"/>
  <c r="AQ24" i="3"/>
  <c r="BF13" i="3"/>
  <c r="BL13" i="3"/>
  <c r="AJ7" i="3"/>
  <c r="AQ22" i="3"/>
  <c r="AQ8" i="3"/>
  <c r="BD5" i="3"/>
  <c r="BJ5" i="3"/>
  <c r="BG13" i="3"/>
  <c r="BM13" i="3"/>
  <c r="AJ9" i="3"/>
  <c r="AQ17" i="3"/>
  <c r="BD21" i="3"/>
  <c r="BJ21" i="3"/>
  <c r="BF5" i="3"/>
  <c r="BL5" i="3"/>
  <c r="BG5" i="3"/>
  <c r="BM5" i="3"/>
  <c r="AJ14" i="3"/>
  <c r="AJ24" i="3"/>
  <c r="AQ6" i="3"/>
  <c r="BG21" i="3"/>
  <c r="BM21" i="3"/>
  <c r="BF21" i="3"/>
  <c r="BL21" i="3"/>
  <c r="BD16" i="3" a="1"/>
  <c r="BD16" i="3"/>
  <c r="BD17" i="3" a="1"/>
  <c r="BD17" i="3"/>
  <c r="BD15" i="3" a="1"/>
  <c r="BD15" i="3"/>
  <c r="BC15" i="3"/>
  <c r="AZ15" i="3"/>
  <c r="BF17" i="3" a="1"/>
  <c r="BF17" i="3"/>
  <c r="BC17" i="3"/>
  <c r="BF14" i="3" a="1"/>
  <c r="BF14" i="3"/>
  <c r="BI15" i="3"/>
  <c r="BG15" i="3" a="1"/>
  <c r="BG15" i="3"/>
  <c r="BE17" i="3" a="1"/>
  <c r="BE17" i="3"/>
  <c r="BD24" i="3" a="1"/>
  <c r="BD24" i="3"/>
  <c r="BD9" i="3" a="1"/>
  <c r="BD9" i="3"/>
  <c r="AZ16" i="3"/>
  <c r="BG16" i="3" a="1"/>
  <c r="BG16" i="3"/>
  <c r="BM16" i="3"/>
  <c r="BI16" i="3"/>
  <c r="BD23" i="3" a="1"/>
  <c r="BD23" i="3"/>
  <c r="BE8" i="3" a="1"/>
  <c r="BE8" i="3"/>
  <c r="BE14" i="3" a="1"/>
  <c r="BE14" i="3"/>
  <c r="BE25" i="3" a="1"/>
  <c r="BE25" i="3"/>
  <c r="BD8" i="3" a="1"/>
  <c r="BD8" i="3"/>
  <c r="BE16" i="3" a="1"/>
  <c r="BE16" i="3"/>
  <c r="AZ23" i="3"/>
  <c r="BF23" i="3" a="1"/>
  <c r="BF23" i="3"/>
  <c r="BC23" i="3"/>
  <c r="BE24" i="3" a="1"/>
  <c r="BE24" i="3"/>
  <c r="BL23" i="3"/>
  <c r="BI23" i="3"/>
  <c r="BD25" i="3" a="1"/>
  <c r="BD25" i="3"/>
  <c r="BG22" i="3" a="1"/>
  <c r="BG22" i="3"/>
  <c r="BJ25" i="3"/>
  <c r="BI25" i="3"/>
  <c r="BF22" i="3" a="1"/>
  <c r="BF22" i="3"/>
  <c r="BF6" i="3" a="1"/>
  <c r="BF6" i="3"/>
  <c r="BC25" i="3"/>
  <c r="BF25" i="3" a="1"/>
  <c r="BF25" i="3"/>
  <c r="BG8" i="3" a="1"/>
  <c r="BG8" i="3"/>
  <c r="BC8" i="3"/>
  <c r="AZ17" i="3"/>
  <c r="BF15" i="3" a="1"/>
  <c r="BF15" i="3"/>
  <c r="AZ8" i="3"/>
  <c r="BG24" i="3" a="1"/>
  <c r="BG24" i="3"/>
  <c r="AZ14" i="3"/>
  <c r="BI14" i="3"/>
  <c r="BC14" i="3"/>
  <c r="BE6" i="3" a="1"/>
  <c r="BE6" i="3"/>
  <c r="AZ9" i="3"/>
  <c r="BG7" i="3" a="1"/>
  <c r="BG7" i="3"/>
  <c r="BE9" i="3" a="1"/>
  <c r="BE9" i="3"/>
  <c r="BE22" i="3" a="1"/>
  <c r="BE22" i="3"/>
  <c r="BG6" i="3" a="1"/>
  <c r="BG6" i="3"/>
  <c r="AZ22" i="3"/>
  <c r="BD7" i="3" a="1"/>
  <c r="BD7" i="3"/>
  <c r="BC7" i="3"/>
  <c r="BI7" i="3"/>
  <c r="AZ7" i="3"/>
  <c r="BC22" i="3"/>
  <c r="BG23" i="3" a="1"/>
  <c r="BG23" i="3"/>
  <c r="AZ25" i="3"/>
  <c r="BG14" i="3" a="1"/>
  <c r="BG14" i="3"/>
  <c r="BI6" i="3"/>
  <c r="BC6" i="3"/>
  <c r="AZ6" i="3"/>
  <c r="BF7" i="3" a="1"/>
  <c r="BF7" i="3"/>
  <c r="BC24" i="3"/>
  <c r="AZ24" i="3"/>
  <c r="BK24" i="3"/>
  <c r="BI24" i="3"/>
  <c r="BF9" i="3" a="1"/>
  <c r="BF9" i="3"/>
  <c r="BM22" i="3"/>
  <c r="BI22" i="3"/>
  <c r="BM24" i="3"/>
  <c r="BK14" i="3"/>
  <c r="BC16" i="3"/>
  <c r="BB15" i="3"/>
  <c r="BL14" i="3"/>
  <c r="BM14" i="3"/>
  <c r="BJ16" i="3"/>
  <c r="BK17" i="3"/>
  <c r="BL15" i="3"/>
  <c r="BJ9" i="3"/>
  <c r="BL22" i="3"/>
  <c r="BM15" i="3"/>
  <c r="BM23" i="3"/>
  <c r="BK9" i="3"/>
  <c r="BL6" i="3"/>
  <c r="BL17" i="3"/>
  <c r="BI17" i="3"/>
  <c r="BH14" i="3"/>
  <c r="BL9" i="3"/>
  <c r="BI9" i="3"/>
  <c r="BM6" i="3"/>
  <c r="BB23" i="3"/>
  <c r="BL7" i="3"/>
  <c r="BJ7" i="3"/>
  <c r="BJ15" i="3"/>
  <c r="BH24" i="3"/>
  <c r="BK25" i="3"/>
  <c r="BK22" i="3"/>
  <c r="BB25" i="3"/>
  <c r="BB24" i="3"/>
  <c r="BC9" i="3"/>
  <c r="BB9" i="3"/>
  <c r="BJ24" i="3"/>
  <c r="BK16" i="3"/>
  <c r="BJ23" i="3"/>
  <c r="BB22" i="3"/>
  <c r="BJ17" i="3"/>
  <c r="BK6" i="3"/>
  <c r="BM8" i="3"/>
  <c r="BI8" i="3"/>
  <c r="BM7" i="3"/>
  <c r="BL25" i="3"/>
  <c r="BH25" i="3"/>
  <c r="BH22" i="3"/>
  <c r="BJ8" i="3"/>
  <c r="BK8" i="3"/>
  <c r="BH23" i="3"/>
  <c r="BB17" i="3"/>
  <c r="BB14" i="3"/>
  <c r="BA14" i="3"/>
  <c r="BH17" i="3"/>
  <c r="BB16" i="3"/>
  <c r="BH16" i="3"/>
  <c r="BH15" i="3"/>
  <c r="BA15" i="3"/>
  <c r="AR15" i="3"/>
  <c r="BH8" i="3"/>
  <c r="BA24" i="3"/>
  <c r="AR24" i="3"/>
  <c r="BA22" i="3"/>
  <c r="AR22" i="3"/>
  <c r="BA23" i="3"/>
  <c r="AR23" i="3"/>
  <c r="BH7" i="3"/>
  <c r="BB6" i="3"/>
  <c r="BB7" i="3"/>
  <c r="BA25" i="3"/>
  <c r="BB8" i="3"/>
  <c r="BH6" i="3"/>
  <c r="BH9" i="3"/>
  <c r="BA9" i="3"/>
  <c r="BA17" i="3"/>
  <c r="AR17" i="3"/>
  <c r="BA16" i="3"/>
  <c r="BQ16" i="3"/>
  <c r="BQ24" i="3"/>
  <c r="BQ15" i="3"/>
  <c r="BA7" i="3"/>
  <c r="AR7" i="3"/>
  <c r="BQ22" i="3"/>
  <c r="BA8" i="3"/>
  <c r="AR8" i="3"/>
  <c r="BQ23" i="3"/>
  <c r="BQ9" i="3"/>
  <c r="AR9" i="3"/>
  <c r="BA6" i="3"/>
  <c r="BQ25" i="3"/>
  <c r="AR25" i="3"/>
  <c r="AH24" i="3"/>
  <c r="AS24" i="3"/>
  <c r="BQ14" i="3"/>
  <c r="AR14" i="3"/>
  <c r="BQ8" i="3"/>
  <c r="BQ17" i="3"/>
  <c r="BO15" i="3"/>
  <c r="AR16" i="3"/>
  <c r="AH15" i="3"/>
  <c r="AS15" i="3"/>
  <c r="BQ7" i="3"/>
  <c r="BO25" i="3"/>
  <c r="BO23" i="3"/>
  <c r="AR6" i="3"/>
  <c r="AH8" i="3"/>
  <c r="AS8" i="3"/>
  <c r="BQ6" i="3"/>
  <c r="AH22" i="3"/>
  <c r="BO24" i="3"/>
  <c r="BO22" i="3"/>
  <c r="AH23" i="3"/>
  <c r="AS23" i="3"/>
  <c r="AH25" i="3"/>
  <c r="AS25" i="3"/>
  <c r="BO16" i="3"/>
  <c r="BO14" i="3"/>
  <c r="BO17" i="3"/>
  <c r="AH16" i="3"/>
  <c r="AS16" i="3"/>
  <c r="AH14" i="3"/>
  <c r="AH17" i="3"/>
  <c r="BR17" i="3"/>
  <c r="BS17" i="3"/>
  <c r="AS17" i="3"/>
  <c r="BO6" i="3"/>
  <c r="BO8" i="3"/>
  <c r="AH6" i="3"/>
  <c r="AH9" i="3"/>
  <c r="AS9" i="3"/>
  <c r="AH7" i="3"/>
  <c r="AS7" i="3"/>
  <c r="BO9" i="3"/>
  <c r="BO7" i="3"/>
  <c r="BV23" i="3"/>
  <c r="BV24" i="3"/>
  <c r="BR22" i="3"/>
  <c r="BS22" i="3"/>
  <c r="BV22" i="3"/>
  <c r="BR23" i="3"/>
  <c r="BS23" i="3"/>
  <c r="BR24" i="3"/>
  <c r="BS24" i="3"/>
  <c r="BR25" i="3"/>
  <c r="BS25" i="3"/>
  <c r="AS22" i="3"/>
  <c r="BV25" i="3"/>
  <c r="BV17" i="3"/>
  <c r="BY17" i="3"/>
  <c r="BR15" i="3"/>
  <c r="BS15" i="3"/>
  <c r="BV16" i="3"/>
  <c r="BY16" i="3"/>
  <c r="BR14" i="3"/>
  <c r="BS14" i="3"/>
  <c r="BV15" i="3"/>
  <c r="BW15" i="3"/>
  <c r="AS14" i="3"/>
  <c r="BV14" i="3"/>
  <c r="BZ14" i="3"/>
  <c r="BR16" i="3"/>
  <c r="BS16" i="3"/>
  <c r="BX17" i="3"/>
  <c r="BZ24" i="3"/>
  <c r="BY24" i="3"/>
  <c r="BW24" i="3"/>
  <c r="BW23" i="3"/>
  <c r="BY23" i="3"/>
  <c r="BZ23" i="3"/>
  <c r="AA25" i="3"/>
  <c r="AB25" i="3"/>
  <c r="BX25" i="3"/>
  <c r="BW25" i="3"/>
  <c r="BZ25" i="3"/>
  <c r="BY25" i="3"/>
  <c r="AA24" i="3"/>
  <c r="AB24" i="3"/>
  <c r="BX24" i="3"/>
  <c r="BZ22" i="3"/>
  <c r="BY22" i="3"/>
  <c r="BW22" i="3"/>
  <c r="AA23" i="3"/>
  <c r="AB23" i="3"/>
  <c r="AA22" i="3"/>
  <c r="BX23" i="3"/>
  <c r="BX22" i="3"/>
  <c r="BR8" i="3"/>
  <c r="BS8" i="3"/>
  <c r="BV8" i="3"/>
  <c r="BR6" i="3"/>
  <c r="BS6" i="3"/>
  <c r="BR7" i="3"/>
  <c r="BS7" i="3"/>
  <c r="BV9" i="3"/>
  <c r="BR9" i="3"/>
  <c r="BS9" i="3"/>
  <c r="BV7" i="3"/>
  <c r="BV6" i="3"/>
  <c r="AS6" i="3"/>
  <c r="BY14" i="3"/>
  <c r="BW14" i="3"/>
  <c r="AA14" i="3"/>
  <c r="AB14" i="3"/>
  <c r="BZ15" i="3"/>
  <c r="BZ17" i="3"/>
  <c r="BW17" i="3"/>
  <c r="BX16" i="3"/>
  <c r="AA17" i="3"/>
  <c r="AB17" i="3"/>
  <c r="BY15" i="3"/>
  <c r="AA15" i="3"/>
  <c r="AB15" i="3"/>
  <c r="AA16" i="3"/>
  <c r="AB16" i="3"/>
  <c r="BX14" i="3"/>
  <c r="BZ16" i="3"/>
  <c r="BW16" i="3"/>
  <c r="BX15" i="3"/>
  <c r="BZ6" i="3"/>
  <c r="BW6" i="3"/>
  <c r="BY6" i="3"/>
  <c r="BW7" i="3"/>
  <c r="BY7" i="3"/>
  <c r="BZ7" i="3"/>
  <c r="BY9" i="3"/>
  <c r="BW9" i="3"/>
  <c r="BZ9" i="3"/>
  <c r="CE25" i="3" a="1"/>
  <c r="CE25" i="3"/>
  <c r="CV23" i="3" a="1"/>
  <c r="CV23" i="3"/>
  <c r="CS22" i="3" a="1"/>
  <c r="CS22" i="3"/>
  <c r="CN25" i="3" a="1"/>
  <c r="CN25" i="3"/>
  <c r="CW25" i="3" a="1"/>
  <c r="CW25" i="3"/>
  <c r="CX23" i="3" a="1"/>
  <c r="CX23" i="3"/>
  <c r="CU22" i="3" a="1"/>
  <c r="CU22" i="3"/>
  <c r="CV25" i="3" a="1"/>
  <c r="CV25" i="3"/>
  <c r="CV24" i="3" a="1"/>
  <c r="CV24" i="3"/>
  <c r="CV22" i="3" a="1"/>
  <c r="CV22" i="3"/>
  <c r="CT22" i="3" a="1"/>
  <c r="CT22" i="3"/>
  <c r="CE22" i="3" a="1"/>
  <c r="CE22" i="3"/>
  <c r="CR22" i="3" a="1"/>
  <c r="CR22" i="3"/>
  <c r="CN22" i="3" a="1"/>
  <c r="CN22" i="3"/>
  <c r="CN23" i="3" a="1"/>
  <c r="CN23" i="3"/>
  <c r="CW24" i="3" a="1"/>
  <c r="CW24" i="3"/>
  <c r="CR23" i="3" a="1"/>
  <c r="CR23" i="3"/>
  <c r="CJ22" i="3" a="1"/>
  <c r="CJ22" i="3"/>
  <c r="CX24" i="3" a="1"/>
  <c r="CX24" i="3"/>
  <c r="CS25" i="3" a="1"/>
  <c r="CS25" i="3"/>
  <c r="CT23" i="3" a="1"/>
  <c r="CT23" i="3"/>
  <c r="CQ22" i="3" a="1"/>
  <c r="CQ22" i="3"/>
  <c r="CR25" i="3" a="1"/>
  <c r="CR25" i="3"/>
  <c r="CR24" i="3" a="1"/>
  <c r="CR24" i="3"/>
  <c r="CK22" i="3" a="1"/>
  <c r="CK22" i="3"/>
  <c r="CI22" i="3" a="1"/>
  <c r="CI22" i="3"/>
  <c r="CW23" i="3" a="1"/>
  <c r="CW23" i="3"/>
  <c r="CF22" i="3" a="1"/>
  <c r="CF22" i="3"/>
  <c r="CG23" i="3" a="1"/>
  <c r="CG23" i="3"/>
  <c r="CY25" i="3" a="1"/>
  <c r="CY25" i="3"/>
  <c r="CE23" i="3" a="1"/>
  <c r="CE23" i="3"/>
  <c r="CD22" i="3" a="1"/>
  <c r="CD22" i="3"/>
  <c r="CE24" i="3" a="1"/>
  <c r="CE24" i="3"/>
  <c r="CG22" i="3" a="1"/>
  <c r="CG22" i="3"/>
  <c r="CW22" i="3" a="1"/>
  <c r="CW22" i="3"/>
  <c r="CY24" i="3" a="1"/>
  <c r="CY24" i="3"/>
  <c r="CS23" i="3" a="1"/>
  <c r="CS23" i="3"/>
  <c r="CM25" i="3" a="1"/>
  <c r="CM25" i="3"/>
  <c r="CX25" i="3" a="1"/>
  <c r="CX25" i="3"/>
  <c r="CD25" i="3" a="1"/>
  <c r="CD25" i="3"/>
  <c r="CY23" i="3" a="1"/>
  <c r="CY23" i="3"/>
  <c r="CS24" i="3" a="1"/>
  <c r="CS24" i="3"/>
  <c r="CY22" i="3" a="1"/>
  <c r="CY22" i="3"/>
  <c r="CU23" i="3" a="1"/>
  <c r="CU23" i="3"/>
  <c r="CN24" i="3" a="1"/>
  <c r="CN24" i="3"/>
  <c r="CL24" i="3" a="1"/>
  <c r="CL24" i="3"/>
  <c r="CT24" i="3" a="1"/>
  <c r="CT24" i="3"/>
  <c r="CL23" i="3" a="1"/>
  <c r="CL23" i="3"/>
  <c r="CX22" i="3" a="1"/>
  <c r="CX22" i="3"/>
  <c r="CT25" i="3" a="1"/>
  <c r="CT25" i="3"/>
  <c r="CM24" i="3" a="1"/>
  <c r="CM24" i="3"/>
  <c r="CD23" i="3" a="1"/>
  <c r="CD23" i="3"/>
  <c r="CU24" i="3" a="1"/>
  <c r="CU24" i="3"/>
  <c r="CM22" i="3" a="1"/>
  <c r="CM22" i="3"/>
  <c r="CM23" i="3" a="1"/>
  <c r="CM23" i="3"/>
  <c r="CF23" i="3" a="1"/>
  <c r="CF23" i="3"/>
  <c r="CL25" i="3" a="1"/>
  <c r="CL25" i="3"/>
  <c r="CO22" i="3" a="1"/>
  <c r="CO22" i="3"/>
  <c r="CU25" i="3" a="1"/>
  <c r="CU25" i="3"/>
  <c r="CL22" i="3" a="1"/>
  <c r="CL22" i="3"/>
  <c r="CP22" i="3" a="1"/>
  <c r="CP22" i="3"/>
  <c r="CK16" i="3" a="1"/>
  <c r="CK16" i="3"/>
  <c r="CF17" i="3" a="1"/>
  <c r="CF17" i="3"/>
  <c r="BX8" i="3"/>
  <c r="AA8" i="3"/>
  <c r="AB8" i="3"/>
  <c r="AA6" i="3"/>
  <c r="AA7" i="3"/>
  <c r="AB7" i="3"/>
  <c r="BX6" i="3"/>
  <c r="BX7" i="3"/>
  <c r="CJ24" i="3" a="1"/>
  <c r="CJ24" i="3"/>
  <c r="CJ25" i="3" a="1"/>
  <c r="CJ25" i="3"/>
  <c r="CK24" i="3" a="1"/>
  <c r="CK24" i="3"/>
  <c r="CF25" i="3" a="1"/>
  <c r="CF25" i="3"/>
  <c r="CG24" i="3" a="1"/>
  <c r="CG24" i="3"/>
  <c r="CF24" i="3" a="1"/>
  <c r="CF24" i="3"/>
  <c r="CQ24" i="3" a="1"/>
  <c r="CQ24" i="3"/>
  <c r="CG25" i="3" a="1"/>
  <c r="CG25" i="3"/>
  <c r="CK25" i="3" a="1"/>
  <c r="CK25" i="3"/>
  <c r="CQ25" i="3" a="1"/>
  <c r="CQ25" i="3"/>
  <c r="CI25" i="3" a="1"/>
  <c r="CI25" i="3"/>
  <c r="CP24" i="3" a="1"/>
  <c r="CP24" i="3"/>
  <c r="CP25" i="3" a="1"/>
  <c r="CP25" i="3"/>
  <c r="CQ23" i="3" a="1"/>
  <c r="CQ23" i="3"/>
  <c r="CO25" i="3" a="1"/>
  <c r="CO25" i="3"/>
  <c r="CH23" i="3" a="1"/>
  <c r="CH23" i="3"/>
  <c r="CO23" i="3" a="1"/>
  <c r="CO23" i="3"/>
  <c r="CH24" i="3" a="1"/>
  <c r="CH24" i="3"/>
  <c r="CP23" i="3" a="1"/>
  <c r="CP23" i="3"/>
  <c r="CH25" i="3" a="1"/>
  <c r="CH25" i="3"/>
  <c r="CK23" i="3" a="1"/>
  <c r="CK23" i="3"/>
  <c r="CH22" i="3" a="1"/>
  <c r="CH22" i="3"/>
  <c r="CI24" i="3" a="1"/>
  <c r="CI24" i="3"/>
  <c r="CI23" i="3" a="1"/>
  <c r="CI23" i="3"/>
  <c r="CJ23" i="3" a="1"/>
  <c r="CJ23" i="3"/>
  <c r="CO24" i="3" a="1"/>
  <c r="CO24" i="3"/>
  <c r="BW8" i="3"/>
  <c r="BZ8" i="3"/>
  <c r="BY8" i="3"/>
  <c r="AB22" i="3"/>
  <c r="AA21" i="3"/>
  <c r="BX9" i="3"/>
  <c r="AA9" i="3"/>
  <c r="AB9" i="3"/>
  <c r="CI17" i="3" a="1"/>
  <c r="CI17" i="3"/>
  <c r="CK17" i="3" a="1"/>
  <c r="CK17" i="3"/>
  <c r="CJ14" i="3" a="1"/>
  <c r="CJ14" i="3"/>
  <c r="CP14" i="3" a="1"/>
  <c r="CP14" i="3"/>
  <c r="CO14" i="3" a="1"/>
  <c r="CO14" i="3"/>
  <c r="CK14" i="3" a="1"/>
  <c r="CK14" i="3"/>
  <c r="CL15" i="3" a="1"/>
  <c r="CL15" i="3"/>
  <c r="CQ17" i="3" a="1"/>
  <c r="CQ17" i="3"/>
  <c r="CG16" i="3" a="1"/>
  <c r="CG16" i="3"/>
  <c r="CJ16" i="3" a="1"/>
  <c r="CJ16" i="3"/>
  <c r="CJ15" i="3" a="1"/>
  <c r="CJ15" i="3"/>
  <c r="CN16" i="3" a="1"/>
  <c r="CN16" i="3"/>
  <c r="CK15" i="3" a="1"/>
  <c r="CK15" i="3"/>
  <c r="CI14" i="3" a="1"/>
  <c r="CI14" i="3"/>
  <c r="AA13" i="3"/>
  <c r="CF14" i="3" a="1"/>
  <c r="CF14" i="3"/>
  <c r="CD17" i="3" a="1"/>
  <c r="CD17" i="3"/>
  <c r="CJ17" i="3" a="1"/>
  <c r="CJ17" i="3"/>
  <c r="CF16" i="3" a="1"/>
  <c r="CF16" i="3"/>
  <c r="CG17" i="3" a="1"/>
  <c r="CG17" i="3"/>
  <c r="CV17" i="3" a="1"/>
  <c r="CV17" i="3"/>
  <c r="CN17" i="3" a="1"/>
  <c r="CN17" i="3"/>
  <c r="CO16" i="3" a="1"/>
  <c r="CO16" i="3"/>
  <c r="CY15" i="3" a="1"/>
  <c r="CY15" i="3"/>
  <c r="CU15" i="3" a="1"/>
  <c r="CU15" i="3"/>
  <c r="CQ16" i="3" a="1"/>
  <c r="CQ16" i="3"/>
  <c r="CR17" i="3" a="1"/>
  <c r="CR17" i="3"/>
  <c r="CR14" i="3" a="1"/>
  <c r="CR14" i="3"/>
  <c r="CX17" i="3" a="1"/>
  <c r="CX17" i="3"/>
  <c r="CL17" i="3" a="1"/>
  <c r="CL17" i="3"/>
  <c r="CF15" i="3" a="1"/>
  <c r="CF15" i="3"/>
  <c r="CN15" i="3" a="1"/>
  <c r="CN15" i="3"/>
  <c r="CM14" i="3" a="1"/>
  <c r="CM14" i="3"/>
  <c r="CS14" i="3" a="1"/>
  <c r="CS14" i="3"/>
  <c r="CD15" i="3" a="1"/>
  <c r="CD15" i="3"/>
  <c r="CM15" i="3" a="1"/>
  <c r="CM15" i="3"/>
  <c r="CW15" i="3" a="1"/>
  <c r="CW15" i="3"/>
  <c r="CT14" i="3" a="1"/>
  <c r="CT14" i="3"/>
  <c r="CN14" i="3" a="1"/>
  <c r="CN14" i="3"/>
  <c r="CP17" i="3" a="1"/>
  <c r="CP17" i="3"/>
  <c r="CI16" i="3" a="1"/>
  <c r="CI16" i="3"/>
  <c r="CT15" i="3" a="1"/>
  <c r="CT15" i="3"/>
  <c r="CT16" i="3" a="1"/>
  <c r="CT16" i="3"/>
  <c r="CU14" i="3" a="1"/>
  <c r="CU14" i="3"/>
  <c r="CE16" i="3" a="1"/>
  <c r="CE16" i="3"/>
  <c r="CT17" i="3" a="1"/>
  <c r="CT17" i="3"/>
  <c r="CY14" i="3" a="1"/>
  <c r="CY14" i="3"/>
  <c r="CV14" i="3" a="1"/>
  <c r="CV14" i="3"/>
  <c r="CW17" i="3" a="1"/>
  <c r="CW17" i="3"/>
  <c r="CH17" i="3" a="1"/>
  <c r="CH17" i="3"/>
  <c r="CH16" i="3" a="1"/>
  <c r="CH16" i="3"/>
  <c r="CE14" i="3" a="1"/>
  <c r="CE14" i="3"/>
  <c r="CX16" i="3" a="1"/>
  <c r="CX16" i="3"/>
  <c r="CG15" i="3" a="1"/>
  <c r="CG15" i="3"/>
  <c r="CU17" i="3" a="1"/>
  <c r="CU17" i="3"/>
  <c r="CV15" i="3" a="1"/>
  <c r="CV15" i="3"/>
  <c r="CG14" i="3" a="1"/>
  <c r="CG14" i="3"/>
  <c r="CY17" i="3" a="1"/>
  <c r="CY17" i="3"/>
  <c r="CM17" i="3" a="1"/>
  <c r="CM17" i="3"/>
  <c r="CO15" i="3" a="1"/>
  <c r="CO15" i="3"/>
  <c r="CV16" i="3" a="1"/>
  <c r="CV16" i="3"/>
  <c r="CD14" i="3" a="1"/>
  <c r="CD14" i="3"/>
  <c r="CU16" i="3" a="1"/>
  <c r="CU16" i="3"/>
  <c r="CL14" i="3" a="1"/>
  <c r="CL14" i="3"/>
  <c r="CR15" i="3" a="1"/>
  <c r="CR15" i="3"/>
  <c r="CS16" i="3" a="1"/>
  <c r="CS16" i="3"/>
  <c r="CW14" i="3" a="1"/>
  <c r="CW14" i="3"/>
  <c r="CW16" i="3" a="1"/>
  <c r="CW16" i="3"/>
  <c r="CQ15" i="3" a="1"/>
  <c r="CQ15" i="3"/>
  <c r="CH14" i="3" a="1"/>
  <c r="CH14" i="3"/>
  <c r="CL16" i="3" a="1"/>
  <c r="CL16" i="3"/>
  <c r="CX14" i="3" a="1"/>
  <c r="CX14" i="3"/>
  <c r="CE15" i="3" a="1"/>
  <c r="CE15" i="3"/>
  <c r="CS17" i="3" a="1"/>
  <c r="CS17" i="3"/>
  <c r="CE17" i="3" a="1"/>
  <c r="CE17" i="3"/>
  <c r="CM16" i="3" a="1"/>
  <c r="CM16" i="3"/>
  <c r="CI15" i="3" a="1"/>
  <c r="CI15" i="3"/>
  <c r="CP15" i="3" a="1"/>
  <c r="CP15" i="3"/>
  <c r="CY16" i="3" a="1"/>
  <c r="CY16" i="3"/>
  <c r="CR16" i="3" a="1"/>
  <c r="CR16" i="3"/>
  <c r="CX15" i="3" a="1"/>
  <c r="CX15" i="3"/>
  <c r="CS15" i="3" a="1"/>
  <c r="CS15" i="3"/>
  <c r="CQ14" i="3" a="1"/>
  <c r="CQ14" i="3"/>
  <c r="CH15" i="3" a="1"/>
  <c r="CH15" i="3"/>
  <c r="CO17" i="3" a="1"/>
  <c r="CO17" i="3"/>
  <c r="CP16" i="3" a="1"/>
  <c r="CP16" i="3"/>
  <c r="CX20" i="3"/>
  <c r="CD16" i="3" a="1"/>
  <c r="CD16" i="3"/>
  <c r="CY20" i="3"/>
  <c r="CV20" i="3"/>
  <c r="CH20" i="3"/>
  <c r="F29" i="3"/>
  <c r="AB6" i="3"/>
  <c r="AA5" i="3"/>
  <c r="E28" i="3"/>
  <c r="F28" i="3"/>
  <c r="CU20" i="3"/>
  <c r="CM20" i="3"/>
  <c r="CQ20" i="3"/>
  <c r="CN20" i="3"/>
  <c r="CG9" i="3" a="1"/>
  <c r="CG9" i="3"/>
  <c r="CI9" i="3" a="1"/>
  <c r="CI9" i="3"/>
  <c r="CK9" i="3" a="1"/>
  <c r="CK9" i="3"/>
  <c r="CQ9" i="3" a="1"/>
  <c r="CQ9" i="3"/>
  <c r="CJ9" i="3" a="1"/>
  <c r="CJ9" i="3"/>
  <c r="CF8" i="3" a="1"/>
  <c r="CF8" i="3"/>
  <c r="CQ8" i="3" a="1"/>
  <c r="CQ8" i="3"/>
  <c r="CG8" i="3" a="1"/>
  <c r="CG8" i="3"/>
  <c r="CK8" i="3" a="1"/>
  <c r="CK8" i="3"/>
  <c r="CF9" i="3" a="1"/>
  <c r="CF9" i="3"/>
  <c r="CJ8" i="3" a="1"/>
  <c r="CJ8" i="3"/>
  <c r="CP20" i="3"/>
  <c r="CR20" i="3"/>
  <c r="AU24" i="3"/>
  <c r="AU23" i="3"/>
  <c r="AU22" i="3"/>
  <c r="AU25" i="3"/>
  <c r="CL20" i="3"/>
  <c r="CF20" i="3"/>
  <c r="CE20" i="3"/>
  <c r="CW20" i="3"/>
  <c r="CT20" i="3"/>
  <c r="CS20" i="3"/>
  <c r="CH7" i="3" a="1"/>
  <c r="CH7" i="3"/>
  <c r="CO7" i="3" a="1"/>
  <c r="CO7" i="3"/>
  <c r="CH8" i="3" a="1"/>
  <c r="CH8" i="3"/>
  <c r="CO8" i="3" a="1"/>
  <c r="CO8" i="3"/>
  <c r="CP8" i="3" a="1"/>
  <c r="CP8" i="3"/>
  <c r="CJ7" i="3" a="1"/>
  <c r="CJ7" i="3"/>
  <c r="CH9" i="3" a="1"/>
  <c r="CH9" i="3"/>
  <c r="CH6" i="3" a="1"/>
  <c r="CH6" i="3"/>
  <c r="CO9" i="3" a="1"/>
  <c r="CO9" i="3"/>
  <c r="CP9" i="3" a="1"/>
  <c r="CP9" i="3"/>
  <c r="CI7" i="3" a="1"/>
  <c r="CI7" i="3"/>
  <c r="CI8" i="3" a="1"/>
  <c r="CI8" i="3"/>
  <c r="CP7" i="3" a="1"/>
  <c r="CP7" i="3"/>
  <c r="CK7" i="3" a="1"/>
  <c r="CK7" i="3"/>
  <c r="CQ7" i="3" a="1"/>
  <c r="CQ7" i="3"/>
  <c r="CO20" i="3"/>
  <c r="CG20" i="3"/>
  <c r="CI20" i="3"/>
  <c r="CJ20" i="3"/>
  <c r="AU16" i="3"/>
  <c r="AU17" i="3"/>
  <c r="AU15" i="3"/>
  <c r="AU14" i="3"/>
  <c r="CK20" i="3"/>
  <c r="CW9" i="3" a="1"/>
  <c r="CW9" i="3"/>
  <c r="CL9" i="3" a="1"/>
  <c r="CL9" i="3"/>
  <c r="CM8" i="3" a="1"/>
  <c r="CM8" i="3"/>
  <c r="CS7" i="3" a="1"/>
  <c r="CS7" i="3"/>
  <c r="CY6" i="3" a="1"/>
  <c r="CY6" i="3"/>
  <c r="CP6" i="3" a="1"/>
  <c r="CP6" i="3"/>
  <c r="CF6" i="3" a="1"/>
  <c r="CF6" i="3"/>
  <c r="CN8" i="3" a="1"/>
  <c r="CN8" i="3"/>
  <c r="CF7" i="3" a="1"/>
  <c r="CF7" i="3"/>
  <c r="CK6" i="3" a="1"/>
  <c r="CK6" i="3"/>
  <c r="CM9" i="3" a="1"/>
  <c r="CM9" i="3"/>
  <c r="CX7" i="3" a="1"/>
  <c r="CX7" i="3"/>
  <c r="CT7" i="3" a="1"/>
  <c r="CT7" i="3"/>
  <c r="CD6" i="3" a="1"/>
  <c r="CD6" i="3"/>
  <c r="CU9" i="3" a="1"/>
  <c r="CU9" i="3"/>
  <c r="CX8" i="3" a="1"/>
  <c r="CX8" i="3"/>
  <c r="CY7" i="3" a="1"/>
  <c r="CY7" i="3"/>
  <c r="CM7" i="3" a="1"/>
  <c r="CM7" i="3"/>
  <c r="CW6" i="3" a="1"/>
  <c r="CW6" i="3"/>
  <c r="CN6" i="3" a="1"/>
  <c r="CN6" i="3"/>
  <c r="CX9" i="3" a="1"/>
  <c r="CX9" i="3"/>
  <c r="CV7" i="3" a="1"/>
  <c r="CV7" i="3"/>
  <c r="CX6" i="3" a="1"/>
  <c r="CX6" i="3"/>
  <c r="CG6" i="3" a="1"/>
  <c r="CG6" i="3"/>
  <c r="CY8" i="3" a="1"/>
  <c r="CY8" i="3"/>
  <c r="CL7" i="3" a="1"/>
  <c r="CL7" i="3"/>
  <c r="CD7" i="3" a="1"/>
  <c r="CD7" i="3"/>
  <c r="CE6" i="3" a="1"/>
  <c r="CE6" i="3"/>
  <c r="CS9" i="3" a="1"/>
  <c r="CS9" i="3"/>
  <c r="CD9" i="3" a="1"/>
  <c r="CD9" i="3"/>
  <c r="CY9" i="3" a="1"/>
  <c r="CY9" i="3"/>
  <c r="CN9" i="3" a="1"/>
  <c r="CN9" i="3"/>
  <c r="CT8" i="3" a="1"/>
  <c r="CT8" i="3"/>
  <c r="CU7" i="3" a="1"/>
  <c r="CU7" i="3"/>
  <c r="CE7" i="3" a="1"/>
  <c r="CE7" i="3"/>
  <c r="CR6" i="3" a="1"/>
  <c r="CR6" i="3"/>
  <c r="CJ6" i="3" a="1"/>
  <c r="CJ6" i="3"/>
  <c r="CR8" i="3" a="1"/>
  <c r="CR8" i="3"/>
  <c r="CN7" i="3" a="1"/>
  <c r="CN7" i="3"/>
  <c r="CO6" i="3" a="1"/>
  <c r="CO6" i="3"/>
  <c r="CT9" i="3" a="1"/>
  <c r="CT9" i="3"/>
  <c r="CL8" i="3" a="1"/>
  <c r="CL8" i="3"/>
  <c r="CM6" i="3" a="1"/>
  <c r="CM6" i="3"/>
  <c r="CI6" i="3" a="1"/>
  <c r="CI6" i="3"/>
  <c r="CE9" i="3" a="1"/>
  <c r="CE9" i="3"/>
  <c r="CG7" i="3" a="1"/>
  <c r="CG7" i="3"/>
  <c r="CV6" i="3" a="1"/>
  <c r="CV6" i="3"/>
  <c r="CD8" i="3" a="1"/>
  <c r="CD8" i="3"/>
  <c r="CW8" i="3" a="1"/>
  <c r="CW8" i="3"/>
  <c r="CU6" i="3" a="1"/>
  <c r="CU6" i="3"/>
  <c r="CQ6" i="3" a="1"/>
  <c r="CQ6" i="3"/>
  <c r="CS6" i="3" a="1"/>
  <c r="CS6" i="3"/>
  <c r="CW7" i="3" a="1"/>
  <c r="CW7" i="3"/>
  <c r="CU8" i="3" a="1"/>
  <c r="CU8" i="3"/>
  <c r="CS8" i="3" a="1"/>
  <c r="CS8" i="3"/>
  <c r="CL6" i="3" a="1"/>
  <c r="CL6" i="3"/>
  <c r="CR9" i="3" a="1"/>
  <c r="CR9" i="3"/>
  <c r="CR7" i="3" a="1"/>
  <c r="CR7" i="3"/>
  <c r="CV8" i="3" a="1"/>
  <c r="CV8" i="3"/>
  <c r="CT6" i="3" a="1"/>
  <c r="CT6" i="3"/>
  <c r="CV9" i="3" a="1"/>
  <c r="CV9" i="3"/>
  <c r="CE8" i="3" a="1"/>
  <c r="CE8" i="3"/>
  <c r="CD24" i="3" a="1"/>
  <c r="CD24" i="3"/>
  <c r="CD20" i="3"/>
  <c r="CJ12" i="3"/>
  <c r="CK12" i="3"/>
  <c r="CS12" i="3"/>
  <c r="CF12" i="3"/>
  <c r="CI12" i="3"/>
  <c r="CN12" i="3"/>
  <c r="CU12" i="3"/>
  <c r="CQ12" i="3"/>
  <c r="CE12" i="3"/>
  <c r="CM12" i="3"/>
  <c r="CY12" i="3"/>
  <c r="CW12" i="3"/>
  <c r="CP12" i="3"/>
  <c r="CH12" i="3"/>
  <c r="CG12" i="3"/>
  <c r="CT12" i="3"/>
  <c r="CO12" i="3"/>
  <c r="CR12" i="3"/>
  <c r="CX12" i="3"/>
  <c r="CL12" i="3"/>
  <c r="CV12" i="3"/>
  <c r="CD12" i="3"/>
  <c r="CQ4" i="3"/>
  <c r="CK4" i="3"/>
  <c r="AG16" i="3"/>
  <c r="CG4" i="3"/>
  <c r="CU4" i="3"/>
  <c r="CO4" i="3"/>
  <c r="CB22" i="3"/>
  <c r="CA25" i="3" a="1"/>
  <c r="CA25" i="3"/>
  <c r="CJ4" i="3"/>
  <c r="CL4" i="3"/>
  <c r="AG24" i="3"/>
  <c r="CP4" i="3"/>
  <c r="CM4" i="3"/>
  <c r="AG22" i="3"/>
  <c r="AG23" i="3"/>
  <c r="CV4" i="3"/>
  <c r="CX4" i="3"/>
  <c r="CF4" i="3"/>
  <c r="AU9" i="3"/>
  <c r="AU7" i="3"/>
  <c r="AU8" i="3"/>
  <c r="AU6" i="3"/>
  <c r="CD4" i="3"/>
  <c r="CY4" i="3"/>
  <c r="AG14" i="3"/>
  <c r="CH4" i="3"/>
  <c r="CT4" i="3"/>
  <c r="CS4" i="3"/>
  <c r="CI4" i="3"/>
  <c r="CR4" i="3"/>
  <c r="CE4" i="3"/>
  <c r="CN4" i="3"/>
  <c r="AG15" i="3"/>
  <c r="CW4" i="3"/>
  <c r="AG17" i="3"/>
  <c r="AG25" i="3"/>
  <c r="CB14" i="3"/>
  <c r="CA17" i="3" a="1"/>
  <c r="CA17" i="3"/>
  <c r="CA24" i="3" a="1"/>
  <c r="CA24" i="3"/>
  <c r="CA23" i="3" a="1"/>
  <c r="CA23" i="3"/>
  <c r="CA22" i="3" a="1"/>
  <c r="CA22" i="3"/>
  <c r="AG7" i="3"/>
  <c r="R14" i="3"/>
  <c r="R16" i="3"/>
  <c r="R17" i="3"/>
  <c r="R15" i="3"/>
  <c r="AL34" i="3"/>
  <c r="AQ34" i="3"/>
  <c r="AI34" i="3"/>
  <c r="AK34" i="3"/>
  <c r="BQ34" i="3"/>
  <c r="AR34" i="3"/>
  <c r="AM34" i="3"/>
  <c r="AO34" i="3"/>
  <c r="AP34" i="3"/>
  <c r="AJ34" i="3"/>
  <c r="AN34" i="3"/>
  <c r="CB6" i="3"/>
  <c r="AG6" i="3"/>
  <c r="R22" i="3"/>
  <c r="R24" i="3"/>
  <c r="R23" i="3"/>
  <c r="R25" i="3"/>
  <c r="AI35" i="3"/>
  <c r="AN35" i="3"/>
  <c r="AP35" i="3"/>
  <c r="AO35" i="3"/>
  <c r="AL35" i="3"/>
  <c r="AK35" i="3"/>
  <c r="AM35" i="3"/>
  <c r="AJ35" i="3"/>
  <c r="BQ35" i="3"/>
  <c r="AQ35" i="3"/>
  <c r="AR35" i="3"/>
  <c r="AG8" i="3"/>
  <c r="AG9" i="3"/>
  <c r="CA15" i="3" a="1"/>
  <c r="CA15" i="3"/>
  <c r="CA14" i="3" a="1"/>
  <c r="CA14" i="3"/>
  <c r="CA16" i="3" a="1"/>
  <c r="CA16" i="3"/>
  <c r="T23" i="3"/>
  <c r="AA17" i="29"/>
  <c r="Z23" i="3"/>
  <c r="AG17" i="29"/>
  <c r="V23" i="3"/>
  <c r="AC17" i="29"/>
  <c r="U23" i="3"/>
  <c r="AB17" i="29"/>
  <c r="Y23" i="3"/>
  <c r="AF17" i="29"/>
  <c r="Y17" i="29"/>
  <c r="X23" i="3"/>
  <c r="AE17" i="29"/>
  <c r="S23" i="3"/>
  <c r="Z17" i="29"/>
  <c r="W23" i="3"/>
  <c r="AD17" i="29"/>
  <c r="AF23" i="3"/>
  <c r="N41" i="3"/>
  <c r="X15" i="3"/>
  <c r="T17" i="29"/>
  <c r="AF15" i="3"/>
  <c r="W15" i="3"/>
  <c r="S17" i="29"/>
  <c r="T15" i="3"/>
  <c r="P17" i="29"/>
  <c r="Y15" i="3"/>
  <c r="U17" i="29"/>
  <c r="Z15" i="3"/>
  <c r="V17" i="29"/>
  <c r="N17" i="29"/>
  <c r="V15" i="3"/>
  <c r="R17" i="29"/>
  <c r="S15" i="3"/>
  <c r="O17" i="29"/>
  <c r="U15" i="3"/>
  <c r="Q17" i="29"/>
  <c r="N40" i="3"/>
  <c r="BA37" i="3"/>
  <c r="BA36" i="3"/>
  <c r="T24" i="3"/>
  <c r="AA18" i="29"/>
  <c r="X24" i="3"/>
  <c r="AE18" i="29"/>
  <c r="BA34" i="3"/>
  <c r="AF24" i="3"/>
  <c r="Z24" i="3"/>
  <c r="AG18" i="29"/>
  <c r="W24" i="3"/>
  <c r="AD18" i="29"/>
  <c r="Y18" i="29"/>
  <c r="S24" i="3"/>
  <c r="Z18" i="29"/>
  <c r="Y24" i="3"/>
  <c r="AF18" i="29"/>
  <c r="BA33" i="3"/>
  <c r="U24" i="3"/>
  <c r="AB18" i="29"/>
  <c r="V24" i="3"/>
  <c r="AC18" i="29"/>
  <c r="A35" i="3"/>
  <c r="BP35" i="3"/>
  <c r="Z17" i="3"/>
  <c r="V19" i="29"/>
  <c r="AF17" i="3"/>
  <c r="N19" i="29"/>
  <c r="Y17" i="3"/>
  <c r="U19" i="29"/>
  <c r="S17" i="3"/>
  <c r="O19" i="29"/>
  <c r="X17" i="3"/>
  <c r="T19" i="29"/>
  <c r="V17" i="3"/>
  <c r="R19" i="29"/>
  <c r="W17" i="3"/>
  <c r="S19" i="29"/>
  <c r="U17" i="3"/>
  <c r="Q19" i="29"/>
  <c r="T17" i="3"/>
  <c r="P19" i="29"/>
  <c r="X22" i="3"/>
  <c r="AE16" i="29"/>
  <c r="Y16" i="29"/>
  <c r="Z22" i="3"/>
  <c r="AG16" i="29"/>
  <c r="Y22" i="3"/>
  <c r="AF16" i="29"/>
  <c r="T22" i="3"/>
  <c r="U22" i="3"/>
  <c r="AB16" i="29"/>
  <c r="V22" i="3"/>
  <c r="AC16" i="29"/>
  <c r="AF22" i="3"/>
  <c r="S22" i="3"/>
  <c r="Z16" i="29"/>
  <c r="W22" i="3"/>
  <c r="AD16" i="29"/>
  <c r="I42" i="3"/>
  <c r="A34" i="3"/>
  <c r="BP34" i="3"/>
  <c r="Y16" i="3"/>
  <c r="U18" i="29"/>
  <c r="BB37" i="3"/>
  <c r="BB34" i="3"/>
  <c r="BA32" i="3"/>
  <c r="W16" i="3"/>
  <c r="S18" i="29"/>
  <c r="BA35" i="3"/>
  <c r="Z16" i="3"/>
  <c r="V18" i="29"/>
  <c r="T16" i="3"/>
  <c r="P18" i="29"/>
  <c r="AF16" i="3"/>
  <c r="S16" i="3"/>
  <c r="O18" i="29"/>
  <c r="X16" i="3"/>
  <c r="T18" i="29"/>
  <c r="N18" i="29"/>
  <c r="U16" i="3"/>
  <c r="Q18" i="29"/>
  <c r="V16" i="3"/>
  <c r="R18" i="29"/>
  <c r="R8" i="3"/>
  <c r="R6" i="3"/>
  <c r="R7" i="3"/>
  <c r="R9" i="3"/>
  <c r="AP33" i="3"/>
  <c r="AR33" i="3"/>
  <c r="AH35" i="3"/>
  <c r="AS35" i="3"/>
  <c r="AN33" i="3"/>
  <c r="AI33" i="3"/>
  <c r="AO33" i="3"/>
  <c r="AJ33" i="3"/>
  <c r="AM33" i="3"/>
  <c r="AL33" i="3"/>
  <c r="AQ33" i="3"/>
  <c r="BQ33" i="3"/>
  <c r="BO33" i="3"/>
  <c r="AK33" i="3"/>
  <c r="V14" i="3"/>
  <c r="R16" i="29"/>
  <c r="Z14" i="3"/>
  <c r="V16" i="29"/>
  <c r="S14" i="3"/>
  <c r="O16" i="29"/>
  <c r="Y14" i="3"/>
  <c r="U16" i="29"/>
  <c r="AF14" i="3"/>
  <c r="T14" i="3"/>
  <c r="W14" i="3"/>
  <c r="S16" i="29"/>
  <c r="N16" i="29"/>
  <c r="U14" i="3"/>
  <c r="Q16" i="29"/>
  <c r="X14" i="3"/>
  <c r="T16" i="29"/>
  <c r="I41" i="3"/>
  <c r="CA9" i="3" a="1"/>
  <c r="CA9" i="3"/>
  <c r="CA7" i="3" a="1"/>
  <c r="CA7" i="3"/>
  <c r="CA8" i="3" a="1"/>
  <c r="CA8" i="3"/>
  <c r="CA6" i="3" a="1"/>
  <c r="CA6" i="3"/>
  <c r="V25" i="3"/>
  <c r="AC19" i="29"/>
  <c r="U25" i="3"/>
  <c r="AB19" i="29"/>
  <c r="T25" i="3"/>
  <c r="AA19" i="29"/>
  <c r="W25" i="3"/>
  <c r="AD19" i="29"/>
  <c r="X25" i="3"/>
  <c r="AE19" i="29"/>
  <c r="AF25" i="3"/>
  <c r="Z25" i="3"/>
  <c r="AG19" i="29"/>
  <c r="Y25" i="3"/>
  <c r="AF19" i="29"/>
  <c r="Y19" i="29"/>
  <c r="S25" i="3"/>
  <c r="Z19" i="29"/>
  <c r="AH34" i="3"/>
  <c r="AS34" i="3"/>
  <c r="BO34" i="3"/>
  <c r="BO35" i="3"/>
  <c r="C39" i="29"/>
  <c r="C45" i="31"/>
  <c r="T9" i="3"/>
  <c r="E19" i="29"/>
  <c r="Y9" i="3"/>
  <c r="J19" i="29"/>
  <c r="S9" i="3"/>
  <c r="D19" i="29"/>
  <c r="Z9" i="3"/>
  <c r="K19" i="29"/>
  <c r="C19" i="29"/>
  <c r="X9" i="3"/>
  <c r="I19" i="29"/>
  <c r="U9" i="3"/>
  <c r="F19" i="29"/>
  <c r="W9" i="3"/>
  <c r="H19" i="29"/>
  <c r="AF9" i="3"/>
  <c r="V9" i="3"/>
  <c r="G19" i="29"/>
  <c r="U7" i="3"/>
  <c r="F17" i="29"/>
  <c r="T7" i="3"/>
  <c r="E17" i="29"/>
  <c r="V7" i="3"/>
  <c r="G17" i="29"/>
  <c r="C17" i="29"/>
  <c r="W7" i="3"/>
  <c r="H17" i="29"/>
  <c r="Z7" i="3"/>
  <c r="K17" i="29"/>
  <c r="AF7" i="3"/>
  <c r="S7" i="3"/>
  <c r="D17" i="29"/>
  <c r="Y7" i="3"/>
  <c r="J17" i="29"/>
  <c r="X7" i="3"/>
  <c r="I17" i="29"/>
  <c r="I40" i="3"/>
  <c r="BB32" i="3"/>
  <c r="X8" i="3"/>
  <c r="I18" i="29"/>
  <c r="W8" i="3"/>
  <c r="H18" i="29"/>
  <c r="T8" i="3"/>
  <c r="E18" i="29"/>
  <c r="S8" i="3"/>
  <c r="D18" i="29"/>
  <c r="U8" i="3"/>
  <c r="F18" i="29"/>
  <c r="AF8" i="3"/>
  <c r="V8" i="3"/>
  <c r="G18" i="29"/>
  <c r="A33" i="3"/>
  <c r="BP33" i="3"/>
  <c r="BB33" i="3"/>
  <c r="C18" i="29"/>
  <c r="BB35" i="3"/>
  <c r="Z8" i="3"/>
  <c r="K18" i="29"/>
  <c r="Y8" i="3"/>
  <c r="J18" i="29"/>
  <c r="BB36" i="3"/>
  <c r="AA16" i="29"/>
  <c r="C35" i="31"/>
  <c r="C36" i="31"/>
  <c r="C37" i="31"/>
  <c r="C34" i="31"/>
  <c r="C16" i="29"/>
  <c r="X6" i="3"/>
  <c r="I16" i="29"/>
  <c r="AF6" i="3"/>
  <c r="T6" i="3"/>
  <c r="Y6" i="3"/>
  <c r="J16" i="29"/>
  <c r="Z6" i="3"/>
  <c r="K16" i="29"/>
  <c r="U6" i="3"/>
  <c r="F16" i="29"/>
  <c r="S6" i="3"/>
  <c r="D16" i="29"/>
  <c r="V6" i="3"/>
  <c r="G16" i="29"/>
  <c r="W6" i="3"/>
  <c r="H16" i="29"/>
  <c r="I39" i="3"/>
  <c r="AF29" i="29"/>
  <c r="C46" i="31"/>
  <c r="C52" i="31"/>
  <c r="AF28" i="29"/>
  <c r="I46" i="3"/>
  <c r="C42" i="31"/>
  <c r="B52" i="31"/>
  <c r="AF38" i="29"/>
  <c r="C43" i="31"/>
  <c r="C30" i="31"/>
  <c r="C32" i="31"/>
  <c r="C33" i="31"/>
  <c r="P16" i="29"/>
  <c r="C31" i="31"/>
  <c r="AH33" i="3"/>
  <c r="C27" i="31"/>
  <c r="C28" i="31"/>
  <c r="C29" i="31"/>
  <c r="E16" i="29"/>
  <c r="C26" i="31"/>
  <c r="B51" i="31"/>
  <c r="C51" i="31"/>
  <c r="C38" i="29"/>
  <c r="N45" i="3"/>
  <c r="C41" i="31"/>
  <c r="C57" i="31"/>
  <c r="N52" i="3"/>
  <c r="O41" i="3"/>
  <c r="AB33" i="29"/>
  <c r="C28" i="29"/>
  <c r="C40" i="31"/>
  <c r="BV34" i="3"/>
  <c r="BR33" i="3"/>
  <c r="BS33" i="3"/>
  <c r="BR35" i="3"/>
  <c r="BS35" i="3"/>
  <c r="BV33" i="3"/>
  <c r="BR34" i="3"/>
  <c r="BS34" i="3"/>
  <c r="BV35" i="3"/>
  <c r="AS33" i="3"/>
  <c r="BY35" i="3"/>
  <c r="BW35" i="3"/>
  <c r="BZ35" i="3"/>
  <c r="BY33" i="3"/>
  <c r="BZ33" i="3"/>
  <c r="BW33" i="3"/>
  <c r="T34" i="29"/>
  <c r="C74" i="31"/>
  <c r="I55" i="3"/>
  <c r="O46" i="3"/>
  <c r="O40" i="3"/>
  <c r="I49" i="3"/>
  <c r="C58" i="31"/>
  <c r="H34" i="29"/>
  <c r="BX34" i="3"/>
  <c r="BX33" i="3"/>
  <c r="O34" i="3"/>
  <c r="P34" i="3"/>
  <c r="O33" i="3"/>
  <c r="BX35" i="3"/>
  <c r="O35" i="3"/>
  <c r="P35" i="3"/>
  <c r="BW34" i="3"/>
  <c r="BZ34" i="3"/>
  <c r="BY34" i="3"/>
  <c r="O48" i="29"/>
  <c r="O52" i="3"/>
  <c r="C80" i="31"/>
  <c r="O55" i="3"/>
  <c r="CK35" i="3" a="1"/>
  <c r="CK35" i="3"/>
  <c r="CJ35" i="3" a="1"/>
  <c r="CJ35" i="3"/>
  <c r="CD35" i="3" a="1"/>
  <c r="CD35" i="3"/>
  <c r="CF33" i="3" a="1"/>
  <c r="CF33" i="3"/>
  <c r="CH35" i="3" a="1"/>
  <c r="CH35" i="3"/>
  <c r="CG34" i="3" a="1"/>
  <c r="CG34" i="3"/>
  <c r="CN33" i="3" a="1"/>
  <c r="CN33" i="3"/>
  <c r="CJ34" i="3" a="1"/>
  <c r="CJ34" i="3"/>
  <c r="CM33" i="3" a="1"/>
  <c r="CM33" i="3"/>
  <c r="CK33" i="3" a="1"/>
  <c r="CK33" i="3"/>
  <c r="CF34" i="3" a="1"/>
  <c r="CF34" i="3"/>
  <c r="CE33" i="3" a="1"/>
  <c r="CE33" i="3"/>
  <c r="CG35" i="3" a="1"/>
  <c r="CG35" i="3"/>
  <c r="CI33" i="3" a="1"/>
  <c r="CI33" i="3"/>
  <c r="CK34" i="3" a="1"/>
  <c r="CK34" i="3"/>
  <c r="CL33" i="3" a="1"/>
  <c r="CL33" i="3"/>
  <c r="CJ33" i="3" a="1"/>
  <c r="CJ33" i="3"/>
  <c r="CE35" i="3" a="1"/>
  <c r="CE35" i="3"/>
  <c r="CD34" i="3" a="1"/>
  <c r="CD34" i="3"/>
  <c r="CI35" i="3" a="1"/>
  <c r="CI35" i="3"/>
  <c r="CH34" i="3" a="1"/>
  <c r="CH34" i="3"/>
  <c r="CG33" i="3" a="1"/>
  <c r="CG33" i="3"/>
  <c r="CF35" i="3" a="1"/>
  <c r="CF35" i="3"/>
  <c r="CH33" i="3" a="1"/>
  <c r="CH33" i="3"/>
  <c r="CE34" i="3" a="1"/>
  <c r="CE34" i="3"/>
  <c r="CI34" i="3" a="1"/>
  <c r="CI34" i="3"/>
  <c r="CD33" i="3" a="1"/>
  <c r="CD33" i="3"/>
  <c r="CL35" i="3" a="1"/>
  <c r="CL35" i="3"/>
  <c r="CM34" i="3" a="1"/>
  <c r="CM34" i="3"/>
  <c r="CL34" i="3" a="1"/>
  <c r="CL34" i="3"/>
  <c r="CM35" i="3" a="1"/>
  <c r="CM35" i="3"/>
  <c r="CN34" i="3" a="1"/>
  <c r="CN34" i="3"/>
  <c r="P33" i="3"/>
  <c r="O32" i="3"/>
  <c r="C66" i="31"/>
  <c r="O31" i="29"/>
  <c r="CN35" i="3" a="1"/>
  <c r="CN35" i="3"/>
  <c r="CK31" i="3"/>
  <c r="CD31" i="3"/>
  <c r="CH31" i="3"/>
  <c r="CE31" i="3"/>
  <c r="CF31" i="3"/>
  <c r="CJ31" i="3"/>
  <c r="CM31" i="3"/>
  <c r="CL31" i="3"/>
  <c r="CN31" i="3"/>
  <c r="CG31" i="3"/>
  <c r="CI31" i="3"/>
  <c r="AU34" i="3"/>
  <c r="AU35" i="3"/>
  <c r="AU33" i="3"/>
  <c r="AG33" i="3"/>
  <c r="CB33" i="3"/>
  <c r="CA35" i="3" a="1"/>
  <c r="CA35" i="3"/>
  <c r="AG35" i="3"/>
  <c r="AG34" i="3"/>
  <c r="F33" i="3"/>
  <c r="H33" i="3"/>
  <c r="P23" i="29"/>
  <c r="CA33" i="3" a="1"/>
  <c r="CA33" i="3"/>
  <c r="CA34" i="3" a="1"/>
  <c r="CA34" i="3"/>
  <c r="F34" i="3"/>
  <c r="I34" i="3"/>
  <c r="Q24" i="29"/>
  <c r="F35" i="3"/>
  <c r="G33" i="3"/>
  <c r="O23" i="29"/>
  <c r="AF33" i="3"/>
  <c r="AW33" i="3"/>
  <c r="N23" i="29"/>
  <c r="I33" i="3"/>
  <c r="Q23" i="29"/>
  <c r="K33" i="3"/>
  <c r="S23" i="29"/>
  <c r="L33" i="3"/>
  <c r="T23" i="29"/>
  <c r="N33" i="3"/>
  <c r="V23" i="29"/>
  <c r="M33" i="3"/>
  <c r="U23" i="29"/>
  <c r="J33" i="3"/>
  <c r="R23" i="29"/>
  <c r="AW34" i="3"/>
  <c r="G34" i="3"/>
  <c r="O24" i="29"/>
  <c r="H34" i="3"/>
  <c r="P24" i="29"/>
  <c r="M34" i="3"/>
  <c r="U24" i="29"/>
  <c r="N24" i="29"/>
  <c r="K34" i="3"/>
  <c r="S24" i="29"/>
  <c r="J34" i="3"/>
  <c r="R24" i="29"/>
  <c r="L34" i="3"/>
  <c r="T24" i="29"/>
  <c r="AF34" i="3"/>
  <c r="N34" i="3"/>
  <c r="V24" i="29"/>
  <c r="H35" i="3"/>
  <c r="P25" i="29"/>
  <c r="J35" i="3"/>
  <c r="R25" i="29"/>
  <c r="M35" i="3"/>
  <c r="U25" i="29"/>
  <c r="I35" i="3"/>
  <c r="Q25" i="29"/>
  <c r="G35" i="3"/>
  <c r="O25" i="29"/>
  <c r="AW35" i="3"/>
  <c r="N25" i="29"/>
  <c r="L35" i="3"/>
  <c r="T25" i="29"/>
  <c r="K35" i="3"/>
  <c r="S25" i="29"/>
  <c r="AF35" i="3"/>
  <c r="N35" i="3"/>
  <c r="V25" i="29"/>
  <c r="AX33" i="3"/>
  <c r="AZ32" i="3"/>
  <c r="AZ36" i="3"/>
  <c r="AZ35" i="3"/>
  <c r="AZ34" i="3"/>
  <c r="AZ33" i="3"/>
  <c r="AZ37" i="3"/>
  <c r="N42" i="3"/>
  <c r="N39" i="3"/>
  <c r="AF39" i="29"/>
  <c r="N46" i="3"/>
  <c r="C44" i="31"/>
  <c r="I45" i="3"/>
  <c r="C53" i="31"/>
  <c r="B53" i="31"/>
  <c r="C47" i="31"/>
  <c r="C29" i="29"/>
  <c r="C50" i="31"/>
  <c r="B50" i="31"/>
  <c r="C59" i="31"/>
  <c r="B63" i="31"/>
  <c r="AB34" i="29"/>
  <c r="N49" i="3"/>
  <c r="O42" i="3"/>
  <c r="C63" i="31"/>
  <c r="C62" i="31"/>
  <c r="B62" i="31"/>
  <c r="O39" i="3"/>
  <c r="H33" i="29"/>
  <c r="C56" i="31"/>
  <c r="I52" i="3"/>
  <c r="C67" i="31"/>
  <c r="I57" i="3"/>
  <c r="T31" i="29"/>
  <c r="B70" i="31"/>
  <c r="C70" i="31"/>
  <c r="C77" i="31"/>
  <c r="O45" i="3"/>
  <c r="B77" i="31"/>
  <c r="O34" i="29"/>
  <c r="I56" i="3"/>
  <c r="C73" i="31"/>
  <c r="O57" i="3"/>
  <c r="O49" i="3"/>
  <c r="C82" i="31"/>
  <c r="V52" i="29"/>
  <c r="C81" i="31"/>
  <c r="O56" i="3"/>
  <c r="K51" i="29"/>
</calcChain>
</file>

<file path=xl/sharedStrings.xml><?xml version="1.0" encoding="utf-8"?>
<sst xmlns="http://schemas.openxmlformats.org/spreadsheetml/2006/main" count="522" uniqueCount="178">
  <si>
    <t>A</t>
  </si>
  <si>
    <t>B</t>
  </si>
  <si>
    <t>C</t>
  </si>
  <si>
    <t>E</t>
  </si>
  <si>
    <t>F</t>
  </si>
  <si>
    <t>Equipo</t>
  </si>
  <si>
    <t>J</t>
  </si>
  <si>
    <t>G</t>
  </si>
  <si>
    <t>P</t>
  </si>
  <si>
    <t>GF</t>
  </si>
  <si>
    <t>GC</t>
  </si>
  <si>
    <t>FINAL</t>
  </si>
  <si>
    <t>Dif</t>
  </si>
  <si>
    <t>Fecha</t>
  </si>
  <si>
    <t>Puesto</t>
  </si>
  <si>
    <t>Ptos</t>
  </si>
  <si>
    <t>Rank</t>
  </si>
  <si>
    <t>FASE DE GRUPOS</t>
  </si>
  <si>
    <t>X</t>
  </si>
  <si>
    <t>Pos</t>
  </si>
  <si>
    <t>matejero</t>
  </si>
  <si>
    <t>Rellenar los cuadros grises</t>
  </si>
  <si>
    <t>Casa</t>
  </si>
  <si>
    <t>Fuera</t>
  </si>
  <si>
    <t>Gol</t>
  </si>
  <si>
    <t>AUXILIARES</t>
  </si>
  <si>
    <t>TOPIC</t>
  </si>
  <si>
    <t>VALUE</t>
  </si>
  <si>
    <t>Entre Iguales</t>
  </si>
  <si>
    <t>Diferencia de Goles - Partidos Cruzados</t>
  </si>
  <si>
    <t>Goles - Partidos Cruzados</t>
  </si>
  <si>
    <t>NEquipEqual</t>
  </si>
  <si>
    <t>SIN EMPEZAR</t>
  </si>
  <si>
    <t>Ranking Inv</t>
  </si>
  <si>
    <t>PUNTOS</t>
  </si>
  <si>
    <t>MÁS GOLES General</t>
  </si>
  <si>
    <t>MÁS PUNTOS General</t>
  </si>
  <si>
    <t>TU NOMBRE</t>
  </si>
  <si>
    <t>3º y 4º PUESTO</t>
  </si>
  <si>
    <t>Campeón</t>
  </si>
  <si>
    <t>Subcampeón</t>
  </si>
  <si>
    <t>3º Puesto</t>
  </si>
  <si>
    <t>MÁS DIF GOLES General</t>
  </si>
  <si>
    <t>BOMBO</t>
  </si>
  <si>
    <t>CUADRO DE HONOR</t>
  </si>
  <si>
    <t>Argentina</t>
  </si>
  <si>
    <t>Brasil</t>
  </si>
  <si>
    <t>Colombia</t>
  </si>
  <si>
    <t>Perú</t>
  </si>
  <si>
    <t>Japón</t>
  </si>
  <si>
    <t>MÁS DIF GOLES X</t>
  </si>
  <si>
    <t>MÁS GOLES X</t>
  </si>
  <si>
    <t>NR</t>
  </si>
  <si>
    <t>Inicio</t>
  </si>
  <si>
    <t>1R</t>
  </si>
  <si>
    <t>OP1</t>
  </si>
  <si>
    <t>OP2</t>
  </si>
  <si>
    <t>COM_1</t>
  </si>
  <si>
    <t>OP3</t>
  </si>
  <si>
    <t>OP4</t>
  </si>
  <si>
    <t>OP5</t>
  </si>
  <si>
    <t>OP6</t>
  </si>
  <si>
    <t>OP7</t>
  </si>
  <si>
    <t>OP8</t>
  </si>
  <si>
    <t>OP9</t>
  </si>
  <si>
    <t>OP10</t>
  </si>
  <si>
    <t>COM_2</t>
  </si>
  <si>
    <t>COM_3</t>
  </si>
  <si>
    <t>COM_4</t>
  </si>
  <si>
    <t>COM_5</t>
  </si>
  <si>
    <t>COM_6</t>
  </si>
  <si>
    <t>COM_7</t>
  </si>
  <si>
    <t>COM_8</t>
  </si>
  <si>
    <t>Signo</t>
  </si>
  <si>
    <t>Gf</t>
  </si>
  <si>
    <t>-</t>
  </si>
  <si>
    <t>no</t>
  </si>
  <si>
    <t>Valor</t>
  </si>
  <si>
    <t>Sum</t>
  </si>
  <si>
    <t>Com</t>
  </si>
  <si>
    <t>¡EMPATE! Puedes seleccionar el orden de los empatados.</t>
  </si>
  <si>
    <t>ESCRIBE TU NOMBRE</t>
  </si>
  <si>
    <t>J1</t>
  </si>
  <si>
    <t>J2</t>
  </si>
  <si>
    <t>J3</t>
  </si>
  <si>
    <t>Hora</t>
  </si>
  <si>
    <t>OK</t>
  </si>
  <si>
    <t>NombreEquipo</t>
  </si>
  <si>
    <t>Jor.</t>
  </si>
  <si>
    <t>Pts</t>
  </si>
  <si>
    <t>Catar</t>
  </si>
  <si>
    <t>Chile</t>
  </si>
  <si>
    <t>Ecuador</t>
  </si>
  <si>
    <t>Paraguay</t>
  </si>
  <si>
    <t>Uruguay</t>
  </si>
  <si>
    <t>Venezuela</t>
  </si>
  <si>
    <t>GRUPOS</t>
  </si>
  <si>
    <t>Auxiliar Terceros</t>
  </si>
  <si>
    <t>1/4</t>
  </si>
  <si>
    <t>GRUPO</t>
  </si>
  <si>
    <t>Con</t>
  </si>
  <si>
    <t>orden</t>
  </si>
  <si>
    <t>VF</t>
  </si>
  <si>
    <t>AB</t>
  </si>
  <si>
    <t>AC</t>
  </si>
  <si>
    <t>BC</t>
  </si>
  <si>
    <t>BA</t>
  </si>
  <si>
    <t>1/2</t>
  </si>
  <si>
    <t>Semifinales</t>
  </si>
  <si>
    <t>3-4</t>
  </si>
  <si>
    <t>Final</t>
  </si>
  <si>
    <t>CA</t>
  </si>
  <si>
    <t>CB</t>
  </si>
  <si>
    <t>España</t>
  </si>
  <si>
    <t>Bolivia</t>
  </si>
  <si>
    <t>HORAS---&gt;</t>
  </si>
  <si>
    <t>GA</t>
  </si>
  <si>
    <t>GB</t>
  </si>
  <si>
    <t>CF</t>
  </si>
  <si>
    <t>SF</t>
  </si>
  <si>
    <t>Goleador del torneo</t>
  </si>
  <si>
    <t>Mejor portero del torneo</t>
  </si>
  <si>
    <t>Mejor jugador del torneo</t>
  </si>
  <si>
    <t>Nombre</t>
  </si>
  <si>
    <t>¡No tocar nada, se rellena solo!</t>
  </si>
  <si>
    <t>POSICIÓN GRUPOS</t>
  </si>
  <si>
    <t>1º GRUPO A</t>
  </si>
  <si>
    <t>2º GRUPO A</t>
  </si>
  <si>
    <t>3º GRUPO A</t>
  </si>
  <si>
    <t>4º GRUPO A</t>
  </si>
  <si>
    <t>1º GRUPO B</t>
  </si>
  <si>
    <t>2º GRUPO B</t>
  </si>
  <si>
    <t>3º GRUPO B</t>
  </si>
  <si>
    <t>4º GRUPO B</t>
  </si>
  <si>
    <t>1º GRUPO C</t>
  </si>
  <si>
    <t>2º GRUPO C</t>
  </si>
  <si>
    <t>3º GRUPO C</t>
  </si>
  <si>
    <t>4º GRUPO C</t>
  </si>
  <si>
    <t>CLASIFICADOS PARA CUARTOS</t>
  </si>
  <si>
    <t>Cuartofinalista</t>
  </si>
  <si>
    <t>ENFRENTAMIENTOS CUARTOS</t>
  </si>
  <si>
    <t>CLASIFICADOS PARA SEMIFINALES</t>
  </si>
  <si>
    <t>Semifinalista</t>
  </si>
  <si>
    <t>ENFRENTAMIENTOS SEMIFINALES</t>
  </si>
  <si>
    <t>3º y 4º puesto (1)</t>
  </si>
  <si>
    <t>3º y 4º puesto (2)</t>
  </si>
  <si>
    <t>Partido 3º y 4º Puesto</t>
  </si>
  <si>
    <t>CLASIFICADOS PARA LA FINAL</t>
  </si>
  <si>
    <t>Finalista</t>
  </si>
  <si>
    <t>ENFRENTAMIENTO FINAL</t>
  </si>
  <si>
    <t>CAMPEONES</t>
  </si>
  <si>
    <t>GRUPO A</t>
  </si>
  <si>
    <t>GRUPO B</t>
  </si>
  <si>
    <t>GRUPO C</t>
  </si>
  <si>
    <t>CLASIFICACION GRUPO A</t>
  </si>
  <si>
    <t>CLASIFICACION GRUPO B</t>
  </si>
  <si>
    <t>CLASIFICACION GRUPO C</t>
  </si>
  <si>
    <t>3º y 4º puesto</t>
  </si>
  <si>
    <t>⚽️</t>
  </si>
  <si>
    <t>🏆</t>
  </si>
  <si>
    <t>🧤</t>
  </si>
  <si>
    <t>Foto: @conmebol</t>
  </si>
  <si>
    <t>CUARTOS -------------------&gt;</t>
  </si>
  <si>
    <t>SEMIFINALES --------------------------------------------------&gt;</t>
  </si>
  <si>
    <t>&lt;----------------- CUARTOS</t>
  </si>
  <si>
    <t>&lt;------------------------------------------------------ SEMIFINALES</t>
  </si>
  <si>
    <t>CLASIFICACION TERCEROS</t>
  </si>
  <si>
    <t>DG</t>
  </si>
  <si>
    <t>Mejores terceros</t>
  </si>
  <si>
    <t>Pontos</t>
  </si>
  <si>
    <t>Selección</t>
  </si>
  <si>
    <t>Cuartos de final</t>
  </si>
  <si>
    <t>PARTICIPANTE</t>
  </si>
  <si>
    <t>Selecciona Horario:</t>
  </si>
  <si>
    <t>Grupo</t>
  </si>
  <si>
    <t>mat</t>
  </si>
  <si>
    <t>Para el administrador de la quiniela</t>
  </si>
  <si>
    <t>EL ADMINISTRADOR DE LA QUINIELA COPIARA DE LA C6 A LA C85 Y LA PEGARÁ EN LA PLANTILLA DEL 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</si>
</sst>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\ &quot;€&quot;;[Red]\-#,##0.00\ &quot;€&quot;"/>
    <numFmt numFmtId="165" formatCode="0.0"/>
    <numFmt numFmtId="166" formatCode="h:mm;@"/>
  </numFmts>
  <fonts count="5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0" tint="-0.14999847407452621"/>
      <name val="Arial"/>
      <family val="2"/>
    </font>
    <font>
      <b/>
      <sz val="9"/>
      <color theme="0" tint="-4.9989318521683403E-2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theme="3"/>
      <name val="Calibri"/>
      <family val="2"/>
      <scheme val="minor"/>
    </font>
    <font>
      <sz val="1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8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0" tint="-0.1499984740745262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0" tint="-0.499984740745262"/>
      <name val="Calibri"/>
      <family val="2"/>
      <scheme val="minor"/>
    </font>
    <font>
      <sz val="13"/>
      <color theme="0"/>
      <name val="Calibri"/>
      <family val="2"/>
      <scheme val="minor"/>
    </font>
    <font>
      <sz val="12"/>
      <color rgb="FF555555"/>
      <name val="Arial"/>
      <family val="2"/>
    </font>
    <font>
      <b/>
      <sz val="11"/>
      <color rgb="FFFF0000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rgb="FF0056A3"/>
      <name val="Calibri"/>
      <family val="2"/>
      <scheme val="minor"/>
    </font>
    <font>
      <sz val="8"/>
      <color rgb="FF0056A3"/>
      <name val="Calibri"/>
      <family val="2"/>
      <scheme val="minor"/>
    </font>
    <font>
      <b/>
      <sz val="10"/>
      <color rgb="FF0056A3"/>
      <name val="Calibri"/>
      <family val="2"/>
      <scheme val="minor"/>
    </font>
    <font>
      <sz val="10"/>
      <color rgb="FF0056A3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rgb="FF0056A3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6398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32787"/>
        <bgColor indexed="64"/>
      </patternFill>
    </fill>
    <fill>
      <patternFill patternType="solid">
        <fgColor rgb="FF539501"/>
        <bgColor indexed="64"/>
      </patternFill>
    </fill>
    <fill>
      <patternFill patternType="solid">
        <fgColor rgb="FFF5C207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34A95F"/>
        <bgColor indexed="64"/>
      </patternFill>
    </fill>
    <fill>
      <patternFill patternType="solid">
        <fgColor rgb="FF009B3A"/>
        <bgColor indexed="64"/>
      </patternFill>
    </fill>
    <fill>
      <patternFill patternType="solid">
        <fgColor rgb="FFDA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1A439"/>
        <bgColor indexed="64"/>
      </patternFill>
    </fill>
    <fill>
      <patternFill patternType="solid">
        <fgColor rgb="FF019535"/>
        <bgColor indexed="64"/>
      </patternFill>
    </fill>
    <fill>
      <patternFill patternType="solid">
        <fgColor rgb="FF0098A6"/>
        <bgColor indexed="64"/>
      </patternFill>
    </fill>
    <fill>
      <patternFill patternType="solid">
        <fgColor rgb="FF0056A3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A50004"/>
        <bgColor indexed="64"/>
      </patternFill>
    </fill>
    <fill>
      <patternFill patternType="solid">
        <fgColor rgb="FFBF162B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theme="0" tint="-0.14996795556505021"/>
      </left>
      <right/>
      <top/>
      <bottom/>
      <diagonal/>
    </border>
    <border>
      <left style="medium">
        <color rgb="FF019535"/>
      </left>
      <right/>
      <top style="medium">
        <color rgb="FF019535"/>
      </top>
      <bottom/>
      <diagonal/>
    </border>
    <border>
      <left/>
      <right/>
      <top style="medium">
        <color rgb="FF019535"/>
      </top>
      <bottom/>
      <diagonal/>
    </border>
    <border>
      <left style="thin">
        <color theme="0"/>
      </left>
      <right/>
      <top style="medium">
        <color rgb="FF019535"/>
      </top>
      <bottom/>
      <diagonal/>
    </border>
    <border>
      <left/>
      <right style="thin">
        <color theme="0"/>
      </right>
      <top style="medium">
        <color rgb="FF019535"/>
      </top>
      <bottom/>
      <diagonal/>
    </border>
    <border>
      <left style="thin">
        <color theme="0"/>
      </left>
      <right style="thin">
        <color theme="0"/>
      </right>
      <top style="medium">
        <color rgb="FF019535"/>
      </top>
      <bottom style="thin">
        <color theme="0"/>
      </bottom>
      <diagonal/>
    </border>
    <border>
      <left/>
      <right style="medium">
        <color rgb="FF019535"/>
      </right>
      <top style="medium">
        <color rgb="FF019535"/>
      </top>
      <bottom/>
      <diagonal/>
    </border>
    <border>
      <left style="medium">
        <color rgb="FF019535"/>
      </left>
      <right/>
      <top/>
      <bottom/>
      <diagonal/>
    </border>
    <border>
      <left/>
      <right style="medium">
        <color rgb="FF019535"/>
      </right>
      <top/>
      <bottom/>
      <diagonal/>
    </border>
    <border>
      <left style="medium">
        <color rgb="FF019535"/>
      </left>
      <right/>
      <top/>
      <bottom style="medium">
        <color rgb="FF019535"/>
      </bottom>
      <diagonal/>
    </border>
    <border>
      <left/>
      <right/>
      <top/>
      <bottom style="medium">
        <color rgb="FF019535"/>
      </bottom>
      <diagonal/>
    </border>
    <border>
      <left style="thin">
        <color theme="0"/>
      </left>
      <right/>
      <top/>
      <bottom style="medium">
        <color rgb="FF019535"/>
      </bottom>
      <diagonal/>
    </border>
    <border>
      <left/>
      <right style="thin">
        <color theme="0"/>
      </right>
      <top/>
      <bottom style="medium">
        <color rgb="FF019535"/>
      </bottom>
      <diagonal/>
    </border>
    <border>
      <left style="thin">
        <color theme="0"/>
      </left>
      <right style="thin">
        <color theme="0"/>
      </right>
      <top/>
      <bottom style="medium">
        <color rgb="FF019535"/>
      </bottom>
      <diagonal/>
    </border>
    <border>
      <left/>
      <right style="medium">
        <color rgb="FF019535"/>
      </right>
      <top/>
      <bottom style="medium">
        <color rgb="FF019535"/>
      </bottom>
      <diagonal/>
    </border>
    <border>
      <left style="medium">
        <color rgb="FF0098A6"/>
      </left>
      <right/>
      <top style="medium">
        <color rgb="FF0098A6"/>
      </top>
      <bottom/>
      <diagonal/>
    </border>
    <border>
      <left/>
      <right/>
      <top style="medium">
        <color rgb="FF0098A6"/>
      </top>
      <bottom/>
      <diagonal/>
    </border>
    <border>
      <left/>
      <right style="medium">
        <color rgb="FF0098A6"/>
      </right>
      <top style="medium">
        <color rgb="FF0098A6"/>
      </top>
      <bottom/>
      <diagonal/>
    </border>
    <border>
      <left style="medium">
        <color rgb="FF0098A6"/>
      </left>
      <right/>
      <top/>
      <bottom/>
      <diagonal/>
    </border>
    <border>
      <left/>
      <right style="medium">
        <color rgb="FF0098A6"/>
      </right>
      <top/>
      <bottom/>
      <diagonal/>
    </border>
    <border>
      <left style="medium">
        <color rgb="FF0098A6"/>
      </left>
      <right/>
      <top/>
      <bottom style="medium">
        <color rgb="FF0098A6"/>
      </bottom>
      <diagonal/>
    </border>
    <border>
      <left/>
      <right/>
      <top/>
      <bottom style="medium">
        <color rgb="FF0098A6"/>
      </bottom>
      <diagonal/>
    </border>
    <border>
      <left/>
      <right style="medium">
        <color rgb="FF0098A6"/>
      </right>
      <top/>
      <bottom style="medium">
        <color rgb="FF0098A6"/>
      </bottom>
      <diagonal/>
    </border>
    <border>
      <left style="medium">
        <color rgb="FF7E3680"/>
      </left>
      <right/>
      <top style="medium">
        <color rgb="FF7E3680"/>
      </top>
      <bottom/>
      <diagonal/>
    </border>
    <border>
      <left/>
      <right/>
      <top style="medium">
        <color rgb="FF7E3680"/>
      </top>
      <bottom/>
      <diagonal/>
    </border>
    <border>
      <left/>
      <right style="medium">
        <color rgb="FF7E3680"/>
      </right>
      <top style="medium">
        <color rgb="FF7E3680"/>
      </top>
      <bottom/>
      <diagonal/>
    </border>
    <border>
      <left style="medium">
        <color rgb="FF7E3680"/>
      </left>
      <right/>
      <top/>
      <bottom style="medium">
        <color rgb="FF7E3680"/>
      </bottom>
      <diagonal/>
    </border>
    <border>
      <left/>
      <right/>
      <top/>
      <bottom style="medium">
        <color rgb="FF7E3680"/>
      </bottom>
      <diagonal/>
    </border>
    <border>
      <left/>
      <right style="medium">
        <color rgb="FF7E3680"/>
      </right>
      <top/>
      <bottom style="medium">
        <color rgb="FF7E3680"/>
      </bottom>
      <diagonal/>
    </border>
    <border>
      <left style="medium">
        <color rgb="FF7E3680"/>
      </left>
      <right/>
      <top/>
      <bottom/>
      <diagonal/>
    </border>
    <border>
      <left/>
      <right style="medium">
        <color rgb="FF7E3680"/>
      </right>
      <top/>
      <bottom/>
      <diagonal/>
    </border>
    <border>
      <left style="medium">
        <color rgb="FFB37836"/>
      </left>
      <right/>
      <top style="medium">
        <color rgb="FFB37836"/>
      </top>
      <bottom style="medium">
        <color rgb="FFB37836"/>
      </bottom>
      <diagonal/>
    </border>
    <border>
      <left/>
      <right/>
      <top style="medium">
        <color rgb="FFB37836"/>
      </top>
      <bottom style="medium">
        <color rgb="FFB37836"/>
      </bottom>
      <diagonal/>
    </border>
    <border>
      <left style="thin">
        <color theme="0"/>
      </left>
      <right/>
      <top style="medium">
        <color rgb="FFB37836"/>
      </top>
      <bottom style="medium">
        <color rgb="FFB37836"/>
      </bottom>
      <diagonal/>
    </border>
    <border>
      <left style="thin">
        <color theme="0"/>
      </left>
      <right style="thin">
        <color theme="0"/>
      </right>
      <top style="medium">
        <color rgb="FFB37836"/>
      </top>
      <bottom style="medium">
        <color rgb="FFB37836"/>
      </bottom>
      <diagonal/>
    </border>
    <border>
      <left/>
      <right style="medium">
        <color rgb="FFB37836"/>
      </right>
      <top style="medium">
        <color rgb="FFB37836"/>
      </top>
      <bottom style="medium">
        <color rgb="FFB37836"/>
      </bottom>
      <diagonal/>
    </border>
    <border>
      <left/>
      <right style="thin">
        <color theme="0"/>
      </right>
      <top style="medium">
        <color rgb="FF7E3680"/>
      </top>
      <bottom/>
      <diagonal/>
    </border>
    <border>
      <left style="thin">
        <color theme="0"/>
      </left>
      <right/>
      <top style="medium">
        <color rgb="FF7E3680"/>
      </top>
      <bottom/>
      <diagonal/>
    </border>
    <border>
      <left style="thin">
        <color theme="0"/>
      </left>
      <right style="thin">
        <color theme="0"/>
      </right>
      <top style="medium">
        <color rgb="FF7E3680"/>
      </top>
      <bottom style="thin">
        <color theme="0"/>
      </bottom>
      <diagonal/>
    </border>
    <border>
      <left/>
      <right style="thin">
        <color theme="0"/>
      </right>
      <top/>
      <bottom style="medium">
        <color rgb="FF7E3680"/>
      </bottom>
      <diagonal/>
    </border>
    <border>
      <left style="thin">
        <color theme="0"/>
      </left>
      <right/>
      <top/>
      <bottom style="medium">
        <color rgb="FF7E368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7E3680"/>
      </bottom>
      <diagonal/>
    </border>
    <border>
      <left style="medium">
        <color rgb="FFFFBE56"/>
      </left>
      <right/>
      <top style="medium">
        <color rgb="FFFFBE56"/>
      </top>
      <bottom/>
      <diagonal/>
    </border>
    <border>
      <left/>
      <right/>
      <top style="medium">
        <color rgb="FFFFBE56"/>
      </top>
      <bottom/>
      <diagonal/>
    </border>
    <border>
      <left/>
      <right style="thin">
        <color theme="0"/>
      </right>
      <top style="medium">
        <color rgb="FFFFBE56"/>
      </top>
      <bottom/>
      <diagonal/>
    </border>
    <border>
      <left style="thin">
        <color theme="0"/>
      </left>
      <right/>
      <top style="medium">
        <color rgb="FFFFBE56"/>
      </top>
      <bottom/>
      <diagonal/>
    </border>
    <border>
      <left/>
      <right style="medium">
        <color rgb="FFFFBE56"/>
      </right>
      <top style="medium">
        <color rgb="FFFFBE56"/>
      </top>
      <bottom/>
      <diagonal/>
    </border>
    <border>
      <left style="medium">
        <color rgb="FFFFBE56"/>
      </left>
      <right/>
      <top/>
      <bottom/>
      <diagonal/>
    </border>
    <border>
      <left/>
      <right style="medium">
        <color rgb="FFFFBE56"/>
      </right>
      <top/>
      <bottom/>
      <diagonal/>
    </border>
    <border>
      <left style="medium">
        <color rgb="FFFFBE56"/>
      </left>
      <right/>
      <top/>
      <bottom style="medium">
        <color rgb="FFFFBE56"/>
      </bottom>
      <diagonal/>
    </border>
    <border>
      <left/>
      <right/>
      <top/>
      <bottom style="medium">
        <color rgb="FFFFBE56"/>
      </bottom>
      <diagonal/>
    </border>
    <border>
      <left/>
      <right style="thin">
        <color theme="0"/>
      </right>
      <top/>
      <bottom style="medium">
        <color rgb="FFFFBE56"/>
      </bottom>
      <diagonal/>
    </border>
    <border>
      <left style="thin">
        <color theme="0"/>
      </left>
      <right/>
      <top/>
      <bottom style="medium">
        <color rgb="FFFFBE56"/>
      </bottom>
      <diagonal/>
    </border>
    <border>
      <left/>
      <right style="medium">
        <color rgb="FFFFBE56"/>
      </right>
      <top/>
      <bottom style="medium">
        <color rgb="FFFFBE56"/>
      </bottom>
      <diagonal/>
    </border>
    <border>
      <left style="medium">
        <color rgb="FF7E3680"/>
      </left>
      <right/>
      <top style="medium">
        <color rgb="FF7E3680"/>
      </top>
      <bottom style="medium">
        <color rgb="FF7E3680"/>
      </bottom>
      <diagonal/>
    </border>
    <border>
      <left/>
      <right/>
      <top style="medium">
        <color rgb="FF7E3680"/>
      </top>
      <bottom style="medium">
        <color rgb="FF7E3680"/>
      </bottom>
      <diagonal/>
    </border>
    <border>
      <left style="thin">
        <color theme="0"/>
      </left>
      <right/>
      <top style="medium">
        <color rgb="FF7E3680"/>
      </top>
      <bottom style="medium">
        <color rgb="FF7E3680"/>
      </bottom>
      <diagonal/>
    </border>
    <border>
      <left style="thin">
        <color theme="0"/>
      </left>
      <right style="thin">
        <color theme="0"/>
      </right>
      <top style="medium">
        <color rgb="FF7E3680"/>
      </top>
      <bottom style="medium">
        <color rgb="FF7E3680"/>
      </bottom>
      <diagonal/>
    </border>
    <border>
      <left/>
      <right style="medium">
        <color rgb="FF7E3680"/>
      </right>
      <top style="medium">
        <color rgb="FF7E3680"/>
      </top>
      <bottom style="medium">
        <color rgb="FF7E3680"/>
      </bottom>
      <diagonal/>
    </border>
    <border>
      <left style="medium">
        <color rgb="FFA50004"/>
      </left>
      <right/>
      <top style="medium">
        <color rgb="FFA50004"/>
      </top>
      <bottom style="medium">
        <color rgb="FFA50004"/>
      </bottom>
      <diagonal/>
    </border>
    <border>
      <left/>
      <right/>
      <top style="medium">
        <color rgb="FFA50004"/>
      </top>
      <bottom style="medium">
        <color rgb="FFA50004"/>
      </bottom>
      <diagonal/>
    </border>
    <border>
      <left/>
      <right style="thin">
        <color theme="0"/>
      </right>
      <top style="medium">
        <color rgb="FFA50004"/>
      </top>
      <bottom style="medium">
        <color rgb="FFA50004"/>
      </bottom>
      <diagonal/>
    </border>
    <border>
      <left style="thin">
        <color theme="0"/>
      </left>
      <right/>
      <top style="medium">
        <color rgb="FFA50004"/>
      </top>
      <bottom style="medium">
        <color rgb="FFA50004"/>
      </bottom>
      <diagonal/>
    </border>
    <border>
      <left/>
      <right style="medium">
        <color rgb="FFA50004"/>
      </right>
      <top style="medium">
        <color rgb="FFA50004"/>
      </top>
      <bottom style="medium">
        <color rgb="FFA50004"/>
      </bottom>
      <diagonal/>
    </border>
  </borders>
  <cellStyleXfs count="90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72">
    <xf numFmtId="0" fontId="0" fillId="0" borderId="0" xfId="0"/>
    <xf numFmtId="0" fontId="0" fillId="2" borderId="0" xfId="0" applyFill="1"/>
    <xf numFmtId="0" fontId="0" fillId="2" borderId="0" xfId="0" applyFill="1" applyProtection="1">
      <protection hidden="1"/>
    </xf>
    <xf numFmtId="0" fontId="0" fillId="2" borderId="0" xfId="0" applyFill="1" applyAlignment="1">
      <alignment horizontal="left" indent="1"/>
    </xf>
    <xf numFmtId="0" fontId="7" fillId="2" borderId="0" xfId="0" applyFont="1" applyFill="1" applyAlignment="1">
      <alignment horizontal="left" indent="1"/>
    </xf>
    <xf numFmtId="0" fontId="0" fillId="2" borderId="0" xfId="0" applyFill="1" applyAlignment="1">
      <alignment horizontal="center"/>
    </xf>
    <xf numFmtId="0" fontId="0" fillId="4" borderId="0" xfId="0" applyFill="1" applyProtection="1">
      <protection hidden="1"/>
    </xf>
    <xf numFmtId="0" fontId="7" fillId="2" borderId="0" xfId="0" applyFont="1" applyFill="1" applyProtection="1">
      <protection hidden="1"/>
    </xf>
    <xf numFmtId="0" fontId="9" fillId="4" borderId="0" xfId="0" applyFont="1" applyFill="1" applyBorder="1" applyAlignment="1" applyProtection="1">
      <alignment horizontal="center" vertical="center"/>
      <protection hidden="1"/>
    </xf>
    <xf numFmtId="0" fontId="9" fillId="4" borderId="0" xfId="0" applyFont="1" applyFill="1" applyBorder="1" applyAlignment="1" applyProtection="1">
      <alignment horizontal="left" vertical="center"/>
      <protection hidden="1"/>
    </xf>
    <xf numFmtId="0" fontId="0" fillId="2" borderId="0" xfId="0" applyFill="1" applyAlignment="1" applyProtection="1">
      <alignment horizontal="center"/>
      <protection hidden="1"/>
    </xf>
    <xf numFmtId="0" fontId="0" fillId="2" borderId="0" xfId="0" applyFont="1" applyFill="1" applyAlignment="1" applyProtection="1">
      <alignment vertical="top" wrapText="1"/>
      <protection hidden="1"/>
    </xf>
    <xf numFmtId="0" fontId="0" fillId="2" borderId="0" xfId="0" applyFill="1" applyAlignment="1" applyProtection="1">
      <protection hidden="1"/>
    </xf>
    <xf numFmtId="0" fontId="2" fillId="2" borderId="0" xfId="0" applyFont="1" applyFill="1" applyAlignment="1" applyProtection="1">
      <alignment vertical="top"/>
      <protection hidden="1"/>
    </xf>
    <xf numFmtId="0" fontId="0" fillId="2" borderId="0" xfId="0" applyFont="1" applyFill="1" applyAlignment="1" applyProtection="1">
      <alignment vertical="top"/>
      <protection hidden="1"/>
    </xf>
    <xf numFmtId="0" fontId="0" fillId="2" borderId="0" xfId="0" applyFont="1" applyFill="1" applyAlignment="1" applyProtection="1">
      <alignment vertical="center" wrapText="1"/>
      <protection hidden="1"/>
    </xf>
    <xf numFmtId="0" fontId="2" fillId="2" borderId="0" xfId="0" applyFont="1" applyFill="1" applyAlignment="1" applyProtection="1">
      <alignment vertical="center"/>
      <protection hidden="1"/>
    </xf>
    <xf numFmtId="0" fontId="18" fillId="2" borderId="0" xfId="27" applyFont="1" applyFill="1" applyAlignment="1" applyProtection="1">
      <alignment vertical="center"/>
      <protection hidden="1"/>
    </xf>
    <xf numFmtId="0" fontId="0" fillId="2" borderId="0" xfId="0" applyFont="1" applyFill="1" applyAlignment="1" applyProtection="1">
      <alignment vertical="center"/>
      <protection hidden="1"/>
    </xf>
    <xf numFmtId="0" fontId="18" fillId="2" borderId="0" xfId="27" applyFont="1" applyFill="1" applyAlignment="1" applyProtection="1">
      <protection hidden="1"/>
    </xf>
    <xf numFmtId="0" fontId="18" fillId="2" borderId="0" xfId="27" applyFont="1" applyFill="1" applyProtection="1">
      <protection hidden="1"/>
    </xf>
    <xf numFmtId="0" fontId="18" fillId="2" borderId="0" xfId="0" applyFont="1" applyFill="1" applyProtection="1">
      <protection hidden="1"/>
    </xf>
    <xf numFmtId="0" fontId="18" fillId="2" borderId="0" xfId="0" applyFont="1" applyFill="1"/>
    <xf numFmtId="0" fontId="27" fillId="2" borderId="0" xfId="0" applyFont="1" applyFill="1"/>
    <xf numFmtId="0" fontId="27" fillId="2" borderId="0" xfId="0" applyFont="1" applyFill="1" applyBorder="1"/>
    <xf numFmtId="0" fontId="22" fillId="2" borderId="0" xfId="0" applyFont="1" applyFill="1" applyBorder="1" applyAlignment="1" applyProtection="1">
      <alignment horizontal="center" vertical="center"/>
      <protection hidden="1"/>
    </xf>
    <xf numFmtId="0" fontId="24" fillId="2" borderId="0" xfId="0" applyFont="1" applyFill="1" applyBorder="1" applyAlignment="1" applyProtection="1">
      <alignment horizontal="center" vertical="center"/>
      <protection hidden="1"/>
    </xf>
    <xf numFmtId="0" fontId="28" fillId="2" borderId="0" xfId="0" applyFont="1" applyFill="1"/>
    <xf numFmtId="0" fontId="29" fillId="2" borderId="0" xfId="0" applyFont="1" applyFill="1" applyAlignment="1">
      <alignment horizontal="center"/>
    </xf>
    <xf numFmtId="0" fontId="29" fillId="2" borderId="21" xfId="0" applyFont="1" applyFill="1" applyBorder="1" applyAlignment="1">
      <alignment horizontal="center"/>
    </xf>
    <xf numFmtId="0" fontId="27" fillId="2" borderId="0" xfId="0" applyFont="1" applyFill="1" applyAlignment="1">
      <alignment horizontal="right"/>
    </xf>
    <xf numFmtId="0" fontId="27" fillId="2" borderId="21" xfId="0" applyFont="1" applyFill="1" applyBorder="1" applyAlignment="1">
      <alignment horizontal="right"/>
    </xf>
    <xf numFmtId="0" fontId="0" fillId="0" borderId="0" xfId="0" applyFill="1"/>
    <xf numFmtId="0" fontId="0" fillId="0" borderId="0" xfId="0" applyFill="1" applyProtection="1">
      <protection hidden="1"/>
    </xf>
    <xf numFmtId="0" fontId="0" fillId="0" borderId="0" xfId="0" applyFill="1" applyAlignment="1">
      <alignment horizontal="center"/>
    </xf>
    <xf numFmtId="0" fontId="0" fillId="0" borderId="0" xfId="0" applyFill="1" applyAlignment="1" applyProtection="1">
      <alignment horizontal="center"/>
      <protection hidden="1"/>
    </xf>
    <xf numFmtId="0" fontId="0" fillId="7" borderId="0" xfId="0" applyFill="1" applyProtection="1">
      <protection hidden="1"/>
    </xf>
    <xf numFmtId="0" fontId="0" fillId="0" borderId="0" xfId="0" applyProtection="1">
      <protection hidden="1"/>
    </xf>
    <xf numFmtId="0" fontId="33" fillId="0" borderId="0" xfId="0" applyFont="1" applyProtection="1">
      <protection hidden="1"/>
    </xf>
    <xf numFmtId="0" fontId="0" fillId="3" borderId="24" xfId="0" applyFill="1" applyBorder="1" applyProtection="1">
      <protection hidden="1"/>
    </xf>
    <xf numFmtId="0" fontId="7" fillId="8" borderId="0" xfId="0" applyFont="1" applyFill="1" applyAlignment="1" applyProtection="1">
      <alignment horizontal="center" vertical="center"/>
      <protection hidden="1"/>
    </xf>
    <xf numFmtId="0" fontId="0" fillId="0" borderId="0" xfId="0" applyFont="1"/>
    <xf numFmtId="0" fontId="27" fillId="2" borderId="25" xfId="0" applyFont="1" applyFill="1" applyBorder="1" applyAlignment="1">
      <alignment horizontal="right"/>
    </xf>
    <xf numFmtId="0" fontId="0" fillId="2" borderId="0" xfId="0" applyFill="1" applyBorder="1"/>
    <xf numFmtId="0" fontId="30" fillId="2" borderId="0" xfId="0" applyFont="1" applyFill="1" applyBorder="1" applyProtection="1">
      <protection hidden="1"/>
    </xf>
    <xf numFmtId="0" fontId="29" fillId="2" borderId="0" xfId="0" applyFont="1" applyFill="1" applyBorder="1" applyProtection="1">
      <protection hidden="1"/>
    </xf>
    <xf numFmtId="0" fontId="23" fillId="2" borderId="0" xfId="0" applyFont="1" applyFill="1" applyBorder="1" applyAlignment="1" applyProtection="1">
      <alignment horizontal="center" vertical="center"/>
      <protection hidden="1"/>
    </xf>
    <xf numFmtId="0" fontId="24" fillId="2" borderId="0" xfId="0" applyFont="1" applyFill="1" applyBorder="1" applyAlignment="1" applyProtection="1">
      <alignment horizontal="left" vertical="center"/>
      <protection hidden="1"/>
    </xf>
    <xf numFmtId="0" fontId="0" fillId="2" borderId="0" xfId="0" applyFill="1" applyBorder="1" applyAlignment="1">
      <alignment horizontal="right"/>
    </xf>
    <xf numFmtId="0" fontId="34" fillId="2" borderId="0" xfId="0" applyFont="1" applyFill="1" applyBorder="1" applyAlignment="1" applyProtection="1">
      <alignment vertical="center"/>
      <protection hidden="1"/>
    </xf>
    <xf numFmtId="0" fontId="37" fillId="2" borderId="0" xfId="0" applyFont="1" applyFill="1" applyBorder="1" applyAlignment="1" applyProtection="1">
      <alignment horizontal="center" vertical="center"/>
      <protection hidden="1"/>
    </xf>
    <xf numFmtId="0" fontId="35" fillId="2" borderId="0" xfId="0" applyFont="1" applyFill="1" applyBorder="1"/>
    <xf numFmtId="0" fontId="38" fillId="2" borderId="0" xfId="0" applyFont="1" applyFill="1" applyBorder="1"/>
    <xf numFmtId="0" fontId="0" fillId="2" borderId="0" xfId="0" applyFill="1" applyBorder="1" applyAlignment="1"/>
    <xf numFmtId="0" fontId="26" fillId="2" borderId="0" xfId="0" applyFont="1" applyFill="1" applyBorder="1" applyAlignment="1">
      <alignment vertical="center"/>
    </xf>
    <xf numFmtId="0" fontId="0" fillId="3" borderId="0" xfId="0" applyFill="1"/>
    <xf numFmtId="0" fontId="0" fillId="0" borderId="0" xfId="0" applyBorder="1"/>
    <xf numFmtId="0" fontId="27" fillId="3" borderId="0" xfId="0" applyFont="1" applyFill="1" applyBorder="1"/>
    <xf numFmtId="0" fontId="2" fillId="3" borderId="0" xfId="0" applyFont="1" applyFill="1" applyBorder="1" applyAlignment="1"/>
    <xf numFmtId="14" fontId="27" fillId="3" borderId="0" xfId="0" applyNumberFormat="1" applyFont="1" applyFill="1" applyBorder="1"/>
    <xf numFmtId="0" fontId="27" fillId="3" borderId="0" xfId="0" applyFont="1" applyFill="1" applyBorder="1" applyAlignment="1">
      <alignment horizontal="right"/>
    </xf>
    <xf numFmtId="0" fontId="29" fillId="3" borderId="0" xfId="0" applyFont="1" applyFill="1" applyBorder="1" applyAlignment="1">
      <alignment horizontal="center"/>
    </xf>
    <xf numFmtId="0" fontId="0" fillId="3" borderId="0" xfId="0" applyFill="1" applyBorder="1"/>
    <xf numFmtId="0" fontId="27" fillId="3" borderId="0" xfId="0" applyFont="1" applyFill="1" applyBorder="1" applyAlignment="1">
      <alignment horizontal="left"/>
    </xf>
    <xf numFmtId="0" fontId="28" fillId="3" borderId="0" xfId="0" applyFont="1" applyFill="1" applyBorder="1"/>
    <xf numFmtId="0" fontId="27" fillId="3" borderId="0" xfId="0" applyFont="1" applyFill="1" applyBorder="1" applyAlignment="1"/>
    <xf numFmtId="0" fontId="24" fillId="2" borderId="10" xfId="0" applyFont="1" applyFill="1" applyBorder="1" applyAlignment="1" applyProtection="1">
      <alignment horizontal="center" vertical="center"/>
      <protection hidden="1"/>
    </xf>
    <xf numFmtId="0" fontId="34" fillId="2" borderId="10" xfId="0" applyFont="1" applyFill="1" applyBorder="1" applyAlignment="1" applyProtection="1">
      <alignment vertical="center"/>
      <protection hidden="1"/>
    </xf>
    <xf numFmtId="0" fontId="0" fillId="3" borderId="4" xfId="0" applyFill="1" applyBorder="1"/>
    <xf numFmtId="0" fontId="0" fillId="3" borderId="18" xfId="0" applyFill="1" applyBorder="1"/>
    <xf numFmtId="0" fontId="2" fillId="3" borderId="10" xfId="0" applyFont="1" applyFill="1" applyBorder="1" applyAlignment="1"/>
    <xf numFmtId="0" fontId="27" fillId="3" borderId="10" xfId="0" applyFont="1" applyFill="1" applyBorder="1" applyAlignment="1"/>
    <xf numFmtId="0" fontId="27" fillId="3" borderId="7" xfId="0" applyFont="1" applyFill="1" applyBorder="1" applyAlignment="1"/>
    <xf numFmtId="0" fontId="28" fillId="3" borderId="10" xfId="0" applyFont="1" applyFill="1" applyBorder="1"/>
    <xf numFmtId="0" fontId="27" fillId="3" borderId="18" xfId="0" applyFont="1" applyFill="1" applyBorder="1" applyAlignment="1">
      <alignment horizontal="left"/>
    </xf>
    <xf numFmtId="0" fontId="27" fillId="3" borderId="10" xfId="0" applyFont="1" applyFill="1" applyBorder="1" applyAlignment="1">
      <alignment horizontal="left"/>
    </xf>
    <xf numFmtId="0" fontId="0" fillId="3" borderId="10" xfId="0" applyFill="1" applyBorder="1"/>
    <xf numFmtId="0" fontId="27" fillId="3" borderId="4" xfId="0" applyFont="1" applyFill="1" applyBorder="1" applyAlignment="1">
      <alignment horizontal="left"/>
    </xf>
    <xf numFmtId="0" fontId="27" fillId="3" borderId="7" xfId="0" applyFont="1" applyFill="1" applyBorder="1" applyAlignment="1">
      <alignment horizontal="left"/>
    </xf>
    <xf numFmtId="0" fontId="0" fillId="3" borderId="6" xfId="0" applyFill="1" applyBorder="1"/>
    <xf numFmtId="0" fontId="2" fillId="3" borderId="0" xfId="0" applyFont="1" applyFill="1" applyBorder="1"/>
    <xf numFmtId="0" fontId="0" fillId="3" borderId="0" xfId="0" applyFill="1" applyAlignment="1">
      <alignment horizontal="center" vertical="center"/>
    </xf>
    <xf numFmtId="0" fontId="27" fillId="3" borderId="0" xfId="0" applyFont="1" applyFill="1" applyBorder="1" applyAlignment="1">
      <alignment horizontal="centerContinuous" vertical="center"/>
    </xf>
    <xf numFmtId="0" fontId="27" fillId="3" borderId="0" xfId="0" applyFont="1" applyFill="1" applyBorder="1" applyAlignment="1">
      <alignment horizontal="center" vertical="center"/>
    </xf>
    <xf numFmtId="0" fontId="27" fillId="3" borderId="4" xfId="0" applyFont="1" applyFill="1" applyBorder="1"/>
    <xf numFmtId="0" fontId="40" fillId="3" borderId="0" xfId="0" applyFont="1" applyFill="1" applyBorder="1" applyAlignment="1"/>
    <xf numFmtId="0" fontId="40" fillId="3" borderId="0" xfId="0" applyFont="1" applyFill="1" applyBorder="1" applyAlignment="1">
      <alignment horizontal="left"/>
    </xf>
    <xf numFmtId="0" fontId="29" fillId="3" borderId="0" xfId="0" applyFont="1" applyFill="1" applyBorder="1" applyAlignment="1">
      <alignment vertical="center"/>
    </xf>
    <xf numFmtId="0" fontId="27" fillId="3" borderId="0" xfId="0" applyFont="1" applyFill="1" applyBorder="1" applyAlignment="1">
      <alignment vertical="center"/>
    </xf>
    <xf numFmtId="0" fontId="0" fillId="3" borderId="15" xfId="0" applyFill="1" applyBorder="1"/>
    <xf numFmtId="0" fontId="29" fillId="2" borderId="26" xfId="0" applyFont="1" applyFill="1" applyBorder="1" applyProtection="1">
      <protection hidden="1"/>
    </xf>
    <xf numFmtId="0" fontId="43" fillId="3" borderId="0" xfId="0" applyFont="1" applyFill="1" applyBorder="1" applyAlignment="1">
      <alignment horizontal="centerContinuous" vertical="center"/>
    </xf>
    <xf numFmtId="0" fontId="39" fillId="11" borderId="5" xfId="0" applyFont="1" applyFill="1" applyBorder="1" applyAlignment="1" applyProtection="1">
      <alignment horizontal="center" vertical="center"/>
      <protection locked="0" hidden="1"/>
    </xf>
    <xf numFmtId="0" fontId="41" fillId="11" borderId="5" xfId="0" applyFont="1" applyFill="1" applyBorder="1" applyAlignment="1">
      <alignment horizontal="left" vertical="center"/>
    </xf>
    <xf numFmtId="0" fontId="37" fillId="11" borderId="5" xfId="0" applyFont="1" applyFill="1" applyBorder="1" applyAlignment="1">
      <alignment vertical="center"/>
    </xf>
    <xf numFmtId="0" fontId="37" fillId="11" borderId="14" xfId="0" applyFont="1" applyFill="1" applyBorder="1" applyAlignment="1">
      <alignment vertical="center"/>
    </xf>
    <xf numFmtId="0" fontId="37" fillId="11" borderId="5" xfId="0" applyFont="1" applyFill="1" applyBorder="1" applyAlignment="1">
      <alignment horizontal="right" vertical="center"/>
    </xf>
    <xf numFmtId="0" fontId="41" fillId="11" borderId="5" xfId="0" applyFont="1" applyFill="1" applyBorder="1" applyAlignment="1">
      <alignment horizontal="right" vertical="center"/>
    </xf>
    <xf numFmtId="0" fontId="8" fillId="11" borderId="9" xfId="0" applyFont="1" applyFill="1" applyBorder="1" applyAlignment="1" applyProtection="1">
      <alignment horizontal="center" vertical="center"/>
      <protection locked="0"/>
    </xf>
    <xf numFmtId="0" fontId="7" fillId="12" borderId="16" xfId="0" applyFont="1" applyFill="1" applyBorder="1"/>
    <xf numFmtId="0" fontId="8" fillId="12" borderId="9" xfId="0" applyFont="1" applyFill="1" applyBorder="1" applyAlignment="1" applyProtection="1">
      <alignment horizontal="center" vertical="center"/>
      <protection locked="0"/>
    </xf>
    <xf numFmtId="0" fontId="42" fillId="12" borderId="16" xfId="0" applyFont="1" applyFill="1" applyBorder="1" applyAlignment="1">
      <alignment horizontal="center"/>
    </xf>
    <xf numFmtId="0" fontId="37" fillId="12" borderId="5" xfId="0" applyFont="1" applyFill="1" applyBorder="1" applyAlignment="1"/>
    <xf numFmtId="0" fontId="41" fillId="12" borderId="5" xfId="0" applyFont="1" applyFill="1" applyBorder="1" applyAlignment="1">
      <alignment vertical="center"/>
    </xf>
    <xf numFmtId="0" fontId="41" fillId="12" borderId="5" xfId="0" applyFont="1" applyFill="1" applyBorder="1" applyAlignment="1">
      <alignment horizontal="right" vertical="center"/>
    </xf>
    <xf numFmtId="0" fontId="37" fillId="12" borderId="5" xfId="0" applyFont="1" applyFill="1" applyBorder="1" applyAlignment="1">
      <alignment horizontal="left"/>
    </xf>
    <xf numFmtId="0" fontId="7" fillId="12" borderId="5" xfId="0" applyFont="1" applyFill="1" applyBorder="1" applyAlignment="1">
      <alignment vertical="center"/>
    </xf>
    <xf numFmtId="0" fontId="37" fillId="12" borderId="16" xfId="0" applyFont="1" applyFill="1" applyBorder="1"/>
    <xf numFmtId="0" fontId="7" fillId="12" borderId="14" xfId="0" applyFont="1" applyFill="1" applyBorder="1"/>
    <xf numFmtId="0" fontId="41" fillId="12" borderId="5" xfId="0" applyFont="1" applyFill="1" applyBorder="1" applyAlignment="1">
      <alignment horizontal="left" vertical="center"/>
    </xf>
    <xf numFmtId="0" fontId="37" fillId="12" borderId="5" xfId="0" applyFont="1" applyFill="1" applyBorder="1" applyAlignment="1">
      <alignment vertical="center"/>
    </xf>
    <xf numFmtId="0" fontId="37" fillId="12" borderId="14" xfId="0" applyFont="1" applyFill="1" applyBorder="1" applyAlignment="1"/>
    <xf numFmtId="0" fontId="37" fillId="12" borderId="5" xfId="0" applyFont="1" applyFill="1" applyBorder="1" applyAlignment="1">
      <alignment horizontal="left" vertical="center"/>
    </xf>
    <xf numFmtId="0" fontId="37" fillId="12" borderId="14" xfId="0" applyFont="1" applyFill="1" applyBorder="1" applyAlignment="1">
      <alignment horizontal="left"/>
    </xf>
    <xf numFmtId="0" fontId="37" fillId="13" borderId="16" xfId="0" applyFont="1" applyFill="1" applyBorder="1" applyAlignment="1">
      <alignment horizontal="right" vertical="center"/>
    </xf>
    <xf numFmtId="0" fontId="41" fillId="13" borderId="5" xfId="0" applyFont="1" applyFill="1" applyBorder="1" applyAlignment="1">
      <alignment horizontal="right" vertical="center"/>
    </xf>
    <xf numFmtId="0" fontId="39" fillId="13" borderId="14" xfId="0" applyFont="1" applyFill="1" applyBorder="1" applyAlignment="1" applyProtection="1">
      <alignment horizontal="center" vertical="center"/>
      <protection locked="0" hidden="1"/>
    </xf>
    <xf numFmtId="0" fontId="8" fillId="13" borderId="9" xfId="0" applyFont="1" applyFill="1" applyBorder="1" applyAlignment="1" applyProtection="1">
      <alignment horizontal="center" vertical="center"/>
      <protection locked="0"/>
    </xf>
    <xf numFmtId="0" fontId="39" fillId="13" borderId="16" xfId="0" applyFont="1" applyFill="1" applyBorder="1" applyAlignment="1" applyProtection="1">
      <alignment horizontal="center" vertical="center"/>
      <protection locked="0" hidden="1"/>
    </xf>
    <xf numFmtId="0" fontId="41" fillId="13" borderId="5" xfId="0" applyFont="1" applyFill="1" applyBorder="1" applyAlignment="1">
      <alignment horizontal="left" vertical="center"/>
    </xf>
    <xf numFmtId="0" fontId="37" fillId="13" borderId="5" xfId="0" applyFont="1" applyFill="1" applyBorder="1" applyAlignment="1">
      <alignment vertical="center"/>
    </xf>
    <xf numFmtId="14" fontId="37" fillId="13" borderId="14" xfId="0" applyNumberFormat="1" applyFont="1" applyFill="1" applyBorder="1" applyAlignment="1">
      <alignment vertical="center"/>
    </xf>
    <xf numFmtId="0" fontId="0" fillId="14" borderId="0" xfId="0" applyFill="1"/>
    <xf numFmtId="0" fontId="39" fillId="14" borderId="0" xfId="0" applyFont="1" applyFill="1" applyBorder="1" applyAlignment="1" applyProtection="1">
      <alignment horizontal="center" vertical="center"/>
      <protection locked="0" hidden="1"/>
    </xf>
    <xf numFmtId="0" fontId="39" fillId="14" borderId="15" xfId="0" applyFont="1" applyFill="1" applyBorder="1" applyAlignment="1" applyProtection="1">
      <alignment horizontal="center" vertical="center"/>
      <protection locked="0" hidden="1"/>
    </xf>
    <xf numFmtId="0" fontId="39" fillId="14" borderId="19" xfId="0" applyFont="1" applyFill="1" applyBorder="1" applyAlignment="1" applyProtection="1">
      <alignment horizontal="center" vertical="center"/>
      <protection locked="0" hidden="1"/>
    </xf>
    <xf numFmtId="0" fontId="39" fillId="14" borderId="17" xfId="0" applyFont="1" applyFill="1" applyBorder="1" applyAlignment="1" applyProtection="1">
      <alignment horizontal="center" vertical="center"/>
      <protection locked="0" hidden="1"/>
    </xf>
    <xf numFmtId="0" fontId="39" fillId="14" borderId="10" xfId="0" applyFont="1" applyFill="1" applyBorder="1" applyAlignment="1" applyProtection="1">
      <alignment horizontal="center" vertical="center"/>
      <protection locked="0" hidden="1"/>
    </xf>
    <xf numFmtId="0" fontId="39" fillId="14" borderId="7" xfId="0" applyFont="1" applyFill="1" applyBorder="1" applyAlignment="1" applyProtection="1">
      <alignment horizontal="center" vertical="center"/>
      <protection locked="0" hidden="1"/>
    </xf>
    <xf numFmtId="14" fontId="0" fillId="2" borderId="0" xfId="0" applyNumberFormat="1" applyFill="1"/>
    <xf numFmtId="0" fontId="37" fillId="16" borderId="3" xfId="0" applyFont="1" applyFill="1" applyBorder="1" applyAlignment="1" applyProtection="1">
      <alignment horizontal="centerContinuous"/>
      <protection hidden="1"/>
    </xf>
    <xf numFmtId="0" fontId="37" fillId="16" borderId="20" xfId="0" applyFont="1" applyFill="1" applyBorder="1" applyAlignment="1" applyProtection="1">
      <alignment horizontal="centerContinuous"/>
      <protection hidden="1"/>
    </xf>
    <xf numFmtId="0" fontId="37" fillId="16" borderId="13" xfId="0" applyFont="1" applyFill="1" applyBorder="1" applyAlignment="1" applyProtection="1">
      <alignment horizontal="centerContinuous"/>
      <protection hidden="1"/>
    </xf>
    <xf numFmtId="0" fontId="37" fillId="17" borderId="3" xfId="0" applyFont="1" applyFill="1" applyBorder="1" applyAlignment="1" applyProtection="1">
      <alignment horizontal="centerContinuous"/>
      <protection hidden="1"/>
    </xf>
    <xf numFmtId="0" fontId="37" fillId="17" borderId="20" xfId="0" applyFont="1" applyFill="1" applyBorder="1" applyAlignment="1" applyProtection="1">
      <alignment horizontal="centerContinuous"/>
      <protection hidden="1"/>
    </xf>
    <xf numFmtId="0" fontId="37" fillId="17" borderId="13" xfId="0" applyFont="1" applyFill="1" applyBorder="1" applyAlignment="1" applyProtection="1">
      <alignment horizontal="centerContinuous"/>
      <protection hidden="1"/>
    </xf>
    <xf numFmtId="0" fontId="37" fillId="5" borderId="3" xfId="0" applyFont="1" applyFill="1" applyBorder="1" applyAlignment="1" applyProtection="1">
      <alignment horizontal="centerContinuous"/>
      <protection hidden="1"/>
    </xf>
    <xf numFmtId="0" fontId="37" fillId="5" borderId="20" xfId="0" applyFont="1" applyFill="1" applyBorder="1" applyAlignment="1" applyProtection="1">
      <alignment horizontal="centerContinuous"/>
      <protection hidden="1"/>
    </xf>
    <xf numFmtId="0" fontId="37" fillId="5" borderId="13" xfId="0" applyFont="1" applyFill="1" applyBorder="1" applyAlignment="1" applyProtection="1">
      <alignment horizontal="centerContinuous"/>
      <protection hidden="1"/>
    </xf>
    <xf numFmtId="0" fontId="37" fillId="16" borderId="11" xfId="0" applyFont="1" applyFill="1" applyBorder="1" applyAlignment="1" applyProtection="1">
      <alignment horizontal="center" vertical="center"/>
      <protection hidden="1"/>
    </xf>
    <xf numFmtId="0" fontId="37" fillId="16" borderId="21" xfId="0" applyFont="1" applyFill="1" applyBorder="1" applyAlignment="1" applyProtection="1">
      <alignment horizontal="left" vertical="center"/>
      <protection hidden="1"/>
    </xf>
    <xf numFmtId="0" fontId="37" fillId="16" borderId="21" xfId="0" applyFont="1" applyFill="1" applyBorder="1" applyAlignment="1" applyProtection="1">
      <alignment horizontal="center" vertical="center"/>
      <protection hidden="1"/>
    </xf>
    <xf numFmtId="0" fontId="37" fillId="16" borderId="12" xfId="0" applyFont="1" applyFill="1" applyBorder="1" applyAlignment="1" applyProtection="1">
      <alignment horizontal="center" vertical="center"/>
      <protection hidden="1"/>
    </xf>
    <xf numFmtId="0" fontId="37" fillId="17" borderId="11" xfId="0" applyFont="1" applyFill="1" applyBorder="1" applyAlignment="1" applyProtection="1">
      <alignment horizontal="center" vertical="center"/>
      <protection hidden="1"/>
    </xf>
    <xf numFmtId="0" fontId="37" fillId="17" borderId="21" xfId="0" applyFont="1" applyFill="1" applyBorder="1" applyAlignment="1" applyProtection="1">
      <alignment horizontal="left" vertical="center"/>
      <protection hidden="1"/>
    </xf>
    <xf numFmtId="0" fontId="37" fillId="17" borderId="21" xfId="0" applyFont="1" applyFill="1" applyBorder="1" applyAlignment="1" applyProtection="1">
      <alignment horizontal="center" vertical="center"/>
      <protection hidden="1"/>
    </xf>
    <xf numFmtId="0" fontId="37" fillId="17" borderId="12" xfId="0" applyFont="1" applyFill="1" applyBorder="1" applyAlignment="1" applyProtection="1">
      <alignment horizontal="center" vertical="center"/>
      <protection hidden="1"/>
    </xf>
    <xf numFmtId="0" fontId="37" fillId="5" borderId="11" xfId="0" applyFont="1" applyFill="1" applyBorder="1" applyAlignment="1" applyProtection="1">
      <alignment horizontal="center" vertical="center"/>
      <protection hidden="1"/>
    </xf>
    <xf numFmtId="0" fontId="37" fillId="5" borderId="21" xfId="0" applyFont="1" applyFill="1" applyBorder="1" applyAlignment="1" applyProtection="1">
      <alignment horizontal="left" vertical="center"/>
      <protection hidden="1"/>
    </xf>
    <xf numFmtId="0" fontId="37" fillId="5" borderId="21" xfId="0" applyFont="1" applyFill="1" applyBorder="1" applyAlignment="1" applyProtection="1">
      <alignment horizontal="center" vertical="center"/>
      <protection hidden="1"/>
    </xf>
    <xf numFmtId="0" fontId="37" fillId="5" borderId="12" xfId="0" applyFont="1" applyFill="1" applyBorder="1" applyAlignment="1" applyProtection="1">
      <alignment horizontal="center" vertical="center"/>
      <protection hidden="1"/>
    </xf>
    <xf numFmtId="0" fontId="24" fillId="4" borderId="1" xfId="0" applyFont="1" applyFill="1" applyBorder="1" applyAlignment="1" applyProtection="1">
      <alignment horizontal="center" vertical="center"/>
      <protection hidden="1"/>
    </xf>
    <xf numFmtId="0" fontId="24" fillId="4" borderId="0" xfId="0" applyFont="1" applyFill="1" applyBorder="1" applyAlignment="1" applyProtection="1">
      <alignment horizontal="left" vertical="center"/>
      <protection hidden="1"/>
    </xf>
    <xf numFmtId="0" fontId="24" fillId="4" borderId="0" xfId="0" applyFont="1" applyFill="1" applyBorder="1" applyAlignment="1" applyProtection="1">
      <alignment horizontal="center" vertical="center"/>
      <protection hidden="1"/>
    </xf>
    <xf numFmtId="0" fontId="24" fillId="4" borderId="2" xfId="0" applyFont="1" applyFill="1" applyBorder="1" applyAlignment="1" applyProtection="1">
      <alignment horizontal="center" vertical="center"/>
      <protection hidden="1"/>
    </xf>
    <xf numFmtId="0" fontId="24" fillId="4" borderId="11" xfId="0" applyFont="1" applyFill="1" applyBorder="1" applyAlignment="1" applyProtection="1">
      <alignment horizontal="center" vertical="center"/>
      <protection hidden="1"/>
    </xf>
    <xf numFmtId="0" fontId="24" fillId="4" borderId="21" xfId="0" applyFont="1" applyFill="1" applyBorder="1" applyAlignment="1" applyProtection="1">
      <alignment horizontal="left" vertical="center"/>
      <protection hidden="1"/>
    </xf>
    <xf numFmtId="0" fontId="24" fillId="4" borderId="21" xfId="0" applyFont="1" applyFill="1" applyBorder="1" applyAlignment="1" applyProtection="1">
      <alignment horizontal="center" vertical="center"/>
      <protection hidden="1"/>
    </xf>
    <xf numFmtId="0" fontId="24" fillId="4" borderId="12" xfId="0" applyFont="1" applyFill="1" applyBorder="1" applyAlignment="1" applyProtection="1">
      <alignment horizontal="center" vertical="center"/>
      <protection hidden="1"/>
    </xf>
    <xf numFmtId="0" fontId="37" fillId="15" borderId="3" xfId="0" applyFont="1" applyFill="1" applyBorder="1" applyAlignment="1" applyProtection="1">
      <alignment horizontal="centerContinuous" vertical="center"/>
      <protection hidden="1"/>
    </xf>
    <xf numFmtId="0" fontId="37" fillId="15" borderId="20" xfId="0" applyFont="1" applyFill="1" applyBorder="1" applyAlignment="1" applyProtection="1">
      <alignment horizontal="centerContinuous" vertical="center"/>
      <protection hidden="1"/>
    </xf>
    <xf numFmtId="0" fontId="37" fillId="15" borderId="13" xfId="0" applyFont="1" applyFill="1" applyBorder="1" applyAlignment="1" applyProtection="1">
      <alignment horizontal="centerContinuous" vertical="center"/>
      <protection hidden="1"/>
    </xf>
    <xf numFmtId="0" fontId="37" fillId="15" borderId="11" xfId="0" applyFont="1" applyFill="1" applyBorder="1" applyAlignment="1" applyProtection="1">
      <alignment horizontal="center" vertical="center"/>
      <protection hidden="1"/>
    </xf>
    <xf numFmtId="0" fontId="37" fillId="15" borderId="21" xfId="0" applyFont="1" applyFill="1" applyBorder="1" applyAlignment="1" applyProtection="1">
      <alignment horizontal="left" vertical="center"/>
      <protection hidden="1"/>
    </xf>
    <xf numFmtId="0" fontId="37" fillId="15" borderId="21" xfId="0" applyFont="1" applyFill="1" applyBorder="1" applyAlignment="1" applyProtection="1">
      <alignment horizontal="center" vertical="center"/>
      <protection hidden="1"/>
    </xf>
    <xf numFmtId="0" fontId="37" fillId="15" borderId="12" xfId="0" applyFont="1" applyFill="1" applyBorder="1" applyAlignment="1" applyProtection="1">
      <alignment horizontal="center" vertical="center"/>
      <protection hidden="1"/>
    </xf>
    <xf numFmtId="0" fontId="44" fillId="12" borderId="14" xfId="0" applyFont="1" applyFill="1" applyBorder="1" applyAlignment="1">
      <alignment horizontal="right" vertical="center"/>
    </xf>
    <xf numFmtId="0" fontId="44" fillId="12" borderId="5" xfId="0" applyFont="1" applyFill="1" applyBorder="1" applyAlignment="1">
      <alignment vertical="center"/>
    </xf>
    <xf numFmtId="0" fontId="44" fillId="12" borderId="16" xfId="0" applyFont="1" applyFill="1" applyBorder="1" applyAlignment="1">
      <alignment vertical="center"/>
    </xf>
    <xf numFmtId="0" fontId="44" fillId="12" borderId="5" xfId="0" applyFont="1" applyFill="1" applyBorder="1" applyAlignment="1">
      <alignment horizontal="right" vertical="center"/>
    </xf>
    <xf numFmtId="0" fontId="45" fillId="18" borderId="0" xfId="0" applyFont="1" applyFill="1" applyAlignment="1">
      <alignment horizontal="center" wrapText="1"/>
    </xf>
    <xf numFmtId="0" fontId="0" fillId="0" borderId="0" xfId="0" applyProtection="1">
      <protection locked="0" hidden="1"/>
    </xf>
    <xf numFmtId="0" fontId="0" fillId="0" borderId="0" xfId="0" applyFont="1" applyProtection="1">
      <protection locked="0" hidden="1"/>
    </xf>
    <xf numFmtId="0" fontId="0" fillId="0" borderId="0" xfId="0" quotePrefix="1" applyProtection="1">
      <protection locked="0" hidden="1"/>
    </xf>
    <xf numFmtId="14" fontId="12" fillId="19" borderId="0" xfId="0" applyNumberFormat="1" applyFont="1" applyFill="1" applyBorder="1" applyAlignment="1" applyProtection="1">
      <alignment horizontal="center" vertical="center"/>
      <protection hidden="1"/>
    </xf>
    <xf numFmtId="166" fontId="12" fillId="19" borderId="0" xfId="0" applyNumberFormat="1" applyFont="1" applyFill="1" applyBorder="1" applyAlignment="1" applyProtection="1">
      <alignment horizontal="center" vertical="center"/>
      <protection hidden="1"/>
    </xf>
    <xf numFmtId="0" fontId="7" fillId="19" borderId="15" xfId="0" applyFont="1" applyFill="1" applyBorder="1" applyAlignment="1" applyProtection="1">
      <alignment horizontal="right"/>
      <protection hidden="1"/>
    </xf>
    <xf numFmtId="0" fontId="7" fillId="19" borderId="10" xfId="0" applyFont="1" applyFill="1" applyBorder="1" applyAlignment="1" applyProtection="1">
      <protection hidden="1"/>
    </xf>
    <xf numFmtId="0" fontId="7" fillId="19" borderId="8" xfId="0" applyFont="1" applyFill="1" applyBorder="1" applyAlignment="1" applyProtection="1">
      <alignment horizontal="center"/>
      <protection locked="0"/>
    </xf>
    <xf numFmtId="0" fontId="6" fillId="19" borderId="15" xfId="0" applyFont="1" applyFill="1" applyBorder="1" applyAlignment="1" applyProtection="1">
      <protection hidden="1"/>
    </xf>
    <xf numFmtId="0" fontId="6" fillId="19" borderId="0" xfId="0" applyFont="1" applyFill="1" applyBorder="1" applyAlignment="1" applyProtection="1">
      <protection hidden="1"/>
    </xf>
    <xf numFmtId="14" fontId="12" fillId="19" borderId="28" xfId="0" applyNumberFormat="1" applyFont="1" applyFill="1" applyBorder="1" applyAlignment="1" applyProtection="1">
      <alignment horizontal="center" vertical="center"/>
      <protection hidden="1"/>
    </xf>
    <xf numFmtId="166" fontId="12" fillId="19" borderId="28" xfId="0" applyNumberFormat="1" applyFont="1" applyFill="1" applyBorder="1" applyAlignment="1" applyProtection="1">
      <alignment horizontal="center" vertical="center"/>
      <protection hidden="1"/>
    </xf>
    <xf numFmtId="0" fontId="7" fillId="19" borderId="29" xfId="0" applyFont="1" applyFill="1" applyBorder="1" applyAlignment="1" applyProtection="1">
      <alignment horizontal="right"/>
      <protection hidden="1"/>
    </xf>
    <xf numFmtId="0" fontId="7" fillId="19" borderId="30" xfId="0" applyFont="1" applyFill="1" applyBorder="1" applyAlignment="1" applyProtection="1">
      <protection hidden="1"/>
    </xf>
    <xf numFmtId="0" fontId="7" fillId="19" borderId="31" xfId="0" applyFont="1" applyFill="1" applyBorder="1" applyAlignment="1" applyProtection="1">
      <alignment horizontal="center"/>
      <protection locked="0"/>
    </xf>
    <xf numFmtId="0" fontId="6" fillId="19" borderId="29" xfId="0" applyFont="1" applyFill="1" applyBorder="1" applyAlignment="1" applyProtection="1">
      <protection hidden="1"/>
    </xf>
    <xf numFmtId="0" fontId="7" fillId="19" borderId="32" xfId="0" applyFont="1" applyFill="1" applyBorder="1" applyAlignment="1" applyProtection="1">
      <alignment horizontal="left"/>
      <protection hidden="1"/>
    </xf>
    <xf numFmtId="0" fontId="7" fillId="19" borderId="34" xfId="0" applyFont="1" applyFill="1" applyBorder="1" applyAlignment="1" applyProtection="1">
      <alignment horizontal="left"/>
      <protection hidden="1"/>
    </xf>
    <xf numFmtId="14" fontId="12" fillId="19" borderId="36" xfId="0" applyNumberFormat="1" applyFont="1" applyFill="1" applyBorder="1" applyAlignment="1" applyProtection="1">
      <alignment horizontal="center" vertical="center"/>
      <protection hidden="1"/>
    </xf>
    <xf numFmtId="166" fontId="12" fillId="19" borderId="36" xfId="0" applyNumberFormat="1" applyFont="1" applyFill="1" applyBorder="1" applyAlignment="1" applyProtection="1">
      <alignment horizontal="center" vertical="center"/>
      <protection hidden="1"/>
    </xf>
    <xf numFmtId="0" fontId="7" fillId="19" borderId="37" xfId="0" applyFont="1" applyFill="1" applyBorder="1" applyAlignment="1" applyProtection="1">
      <alignment horizontal="right"/>
      <protection hidden="1"/>
    </xf>
    <xf numFmtId="0" fontId="7" fillId="19" borderId="38" xfId="0" applyFont="1" applyFill="1" applyBorder="1" applyAlignment="1" applyProtection="1">
      <protection hidden="1"/>
    </xf>
    <xf numFmtId="0" fontId="7" fillId="19" borderId="39" xfId="0" applyFont="1" applyFill="1" applyBorder="1" applyAlignment="1" applyProtection="1">
      <alignment horizontal="center"/>
      <protection locked="0"/>
    </xf>
    <xf numFmtId="0" fontId="6" fillId="19" borderId="37" xfId="0" applyFont="1" applyFill="1" applyBorder="1" applyAlignment="1" applyProtection="1">
      <protection hidden="1"/>
    </xf>
    <xf numFmtId="0" fontId="7" fillId="19" borderId="40" xfId="0" applyFont="1" applyFill="1" applyBorder="1" applyAlignment="1" applyProtection="1">
      <alignment horizontal="left"/>
      <protection hidden="1"/>
    </xf>
    <xf numFmtId="0" fontId="46" fillId="22" borderId="0" xfId="0" applyFont="1" applyFill="1" applyBorder="1" applyAlignment="1" applyProtection="1">
      <alignment vertical="center"/>
      <protection hidden="1"/>
    </xf>
    <xf numFmtId="0" fontId="8" fillId="21" borderId="41" xfId="0" applyFont="1" applyFill="1" applyBorder="1" applyAlignment="1" applyProtection="1">
      <alignment horizontal="centerContinuous"/>
      <protection hidden="1"/>
    </xf>
    <xf numFmtId="0" fontId="8" fillId="21" borderId="42" xfId="0" applyFont="1" applyFill="1" applyBorder="1" applyAlignment="1" applyProtection="1">
      <alignment horizontal="centerContinuous"/>
      <protection hidden="1"/>
    </xf>
    <xf numFmtId="0" fontId="8" fillId="21" borderId="43" xfId="0" applyFont="1" applyFill="1" applyBorder="1" applyAlignment="1" applyProtection="1">
      <alignment horizontal="centerContinuous"/>
      <protection hidden="1"/>
    </xf>
    <xf numFmtId="0" fontId="8" fillId="21" borderId="46" xfId="0" applyFont="1" applyFill="1" applyBorder="1" applyAlignment="1" applyProtection="1">
      <alignment horizontal="center" vertical="center"/>
      <protection hidden="1"/>
    </xf>
    <xf numFmtId="0" fontId="8" fillId="21" borderId="47" xfId="0" applyFont="1" applyFill="1" applyBorder="1" applyAlignment="1" applyProtection="1">
      <alignment horizontal="left" vertical="center"/>
      <protection hidden="1"/>
    </xf>
    <xf numFmtId="0" fontId="8" fillId="21" borderId="47" xfId="0" applyFont="1" applyFill="1" applyBorder="1" applyAlignment="1" applyProtection="1">
      <alignment horizontal="center" vertical="center"/>
      <protection hidden="1"/>
    </xf>
    <xf numFmtId="0" fontId="8" fillId="21" borderId="48" xfId="0" applyFont="1" applyFill="1" applyBorder="1" applyAlignment="1" applyProtection="1">
      <alignment horizontal="center" vertical="center"/>
      <protection hidden="1"/>
    </xf>
    <xf numFmtId="0" fontId="9" fillId="4" borderId="41" xfId="0" applyFont="1" applyFill="1" applyBorder="1" applyAlignment="1" applyProtection="1">
      <alignment horizontal="center" vertical="center"/>
      <protection hidden="1"/>
    </xf>
    <xf numFmtId="0" fontId="9" fillId="4" borderId="42" xfId="0" applyFont="1" applyFill="1" applyBorder="1" applyAlignment="1" applyProtection="1">
      <alignment horizontal="left" vertical="center"/>
      <protection hidden="1"/>
    </xf>
    <xf numFmtId="0" fontId="9" fillId="4" borderId="42" xfId="0" applyFont="1" applyFill="1" applyBorder="1" applyAlignment="1" applyProtection="1">
      <alignment horizontal="center" vertical="center"/>
      <protection hidden="1"/>
    </xf>
    <xf numFmtId="0" fontId="9" fillId="4" borderId="43" xfId="0" applyFont="1" applyFill="1" applyBorder="1" applyAlignment="1" applyProtection="1">
      <alignment horizontal="center" vertical="center"/>
      <protection hidden="1"/>
    </xf>
    <xf numFmtId="0" fontId="9" fillId="4" borderId="44" xfId="0" applyFont="1" applyFill="1" applyBorder="1" applyAlignment="1" applyProtection="1">
      <alignment horizontal="center" vertical="center"/>
      <protection hidden="1"/>
    </xf>
    <xf numFmtId="0" fontId="9" fillId="4" borderId="45" xfId="0" applyFont="1" applyFill="1" applyBorder="1" applyAlignment="1" applyProtection="1">
      <alignment horizontal="center" vertical="center"/>
      <protection hidden="1"/>
    </xf>
    <xf numFmtId="0" fontId="9" fillId="4" borderId="46" xfId="0" applyFont="1" applyFill="1" applyBorder="1" applyAlignment="1" applyProtection="1">
      <alignment horizontal="center" vertical="center"/>
      <protection hidden="1"/>
    </xf>
    <xf numFmtId="0" fontId="9" fillId="4" borderId="47" xfId="0" applyFont="1" applyFill="1" applyBorder="1" applyAlignment="1" applyProtection="1">
      <alignment horizontal="left" vertical="center"/>
      <protection hidden="1"/>
    </xf>
    <xf numFmtId="0" fontId="9" fillId="4" borderId="47" xfId="0" applyFont="1" applyFill="1" applyBorder="1" applyAlignment="1" applyProtection="1">
      <alignment horizontal="center" vertical="center"/>
      <protection hidden="1"/>
    </xf>
    <xf numFmtId="0" fontId="9" fillId="4" borderId="48" xfId="0" applyFont="1" applyFill="1" applyBorder="1" applyAlignment="1" applyProtection="1">
      <alignment horizontal="center" vertical="center"/>
      <protection hidden="1"/>
    </xf>
    <xf numFmtId="0" fontId="9" fillId="4" borderId="49" xfId="0" applyFont="1" applyFill="1" applyBorder="1" applyAlignment="1" applyProtection="1">
      <alignment horizontal="center" vertical="center"/>
      <protection hidden="1"/>
    </xf>
    <xf numFmtId="0" fontId="9" fillId="4" borderId="50" xfId="0" applyFont="1" applyFill="1" applyBorder="1" applyAlignment="1" applyProtection="1">
      <alignment horizontal="left" vertical="center"/>
      <protection hidden="1"/>
    </xf>
    <xf numFmtId="0" fontId="9" fillId="4" borderId="50" xfId="0" applyFont="1" applyFill="1" applyBorder="1" applyAlignment="1" applyProtection="1">
      <alignment horizontal="center" vertical="center"/>
      <protection hidden="1"/>
    </xf>
    <xf numFmtId="0" fontId="9" fillId="4" borderId="51" xfId="0" applyFont="1" applyFill="1" applyBorder="1" applyAlignment="1" applyProtection="1">
      <alignment horizontal="center" vertical="center"/>
      <protection hidden="1"/>
    </xf>
    <xf numFmtId="0" fontId="9" fillId="4" borderId="55" xfId="0" applyFont="1" applyFill="1" applyBorder="1" applyAlignment="1" applyProtection="1">
      <alignment horizontal="center" vertical="center"/>
      <protection hidden="1"/>
    </xf>
    <xf numFmtId="0" fontId="9" fillId="4" borderId="56" xfId="0" applyFont="1" applyFill="1" applyBorder="1" applyAlignment="1" applyProtection="1">
      <alignment horizontal="center" vertical="center"/>
      <protection hidden="1"/>
    </xf>
    <xf numFmtId="0" fontId="49" fillId="22" borderId="0" xfId="0" applyFont="1" applyFill="1" applyBorder="1" applyAlignment="1" applyProtection="1">
      <alignment vertical="center"/>
      <protection hidden="1"/>
    </xf>
    <xf numFmtId="0" fontId="55" fillId="2" borderId="0" xfId="0" applyFont="1" applyFill="1"/>
    <xf numFmtId="22" fontId="31" fillId="2" borderId="0" xfId="0" applyNumberFormat="1" applyFont="1" applyFill="1" applyBorder="1" applyAlignment="1" applyProtection="1">
      <alignment horizontal="center" vertical="center"/>
      <protection hidden="1"/>
    </xf>
    <xf numFmtId="22" fontId="31" fillId="2" borderId="0" xfId="0" quotePrefix="1" applyNumberFormat="1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Border="1" applyAlignment="1" applyProtection="1">
      <alignment vertical="center"/>
      <protection hidden="1"/>
    </xf>
    <xf numFmtId="0" fontId="8" fillId="2" borderId="0" xfId="0" applyFont="1" applyFill="1" applyBorder="1" applyProtection="1">
      <protection hidden="1"/>
    </xf>
    <xf numFmtId="0" fontId="7" fillId="2" borderId="0" xfId="0" applyFont="1" applyFill="1" applyBorder="1" applyProtection="1">
      <protection hidden="1"/>
    </xf>
    <xf numFmtId="0" fontId="7" fillId="2" borderId="0" xfId="0" applyFont="1" applyFill="1" applyBorder="1"/>
    <xf numFmtId="0" fontId="8" fillId="2" borderId="0" xfId="0" applyFont="1" applyFill="1" applyBorder="1" applyAlignment="1" applyProtection="1">
      <alignment horizontal="center"/>
      <protection hidden="1"/>
    </xf>
    <xf numFmtId="0" fontId="8" fillId="2" borderId="0" xfId="0" applyFont="1" applyFill="1" applyBorder="1"/>
    <xf numFmtId="0" fontId="31" fillId="2" borderId="0" xfId="0" applyFont="1" applyFill="1" applyBorder="1" applyProtection="1">
      <protection hidden="1"/>
    </xf>
    <xf numFmtId="3" fontId="12" fillId="2" borderId="0" xfId="0" applyNumberFormat="1" applyFont="1" applyFill="1" applyBorder="1" applyProtection="1">
      <protection hidden="1"/>
    </xf>
    <xf numFmtId="0" fontId="39" fillId="2" borderId="0" xfId="0" applyFont="1" applyFill="1" applyBorder="1" applyAlignment="1" applyProtection="1">
      <alignment horizontal="center" vertical="center"/>
      <protection hidden="1"/>
    </xf>
    <xf numFmtId="0" fontId="37" fillId="2" borderId="0" xfId="0" applyFont="1" applyFill="1" applyBorder="1" applyAlignment="1" applyProtection="1">
      <alignment horizontal="center"/>
      <protection hidden="1"/>
    </xf>
    <xf numFmtId="2" fontId="7" fillId="2" borderId="0" xfId="0" applyNumberFormat="1" applyFont="1" applyFill="1" applyBorder="1"/>
    <xf numFmtId="0" fontId="42" fillId="2" borderId="0" xfId="0" applyFont="1" applyFill="1" applyBorder="1" applyAlignment="1" applyProtection="1">
      <alignment horizontal="center"/>
      <protection hidden="1"/>
    </xf>
    <xf numFmtId="22" fontId="31" fillId="2" borderId="0" xfId="0" applyNumberFormat="1" applyFont="1" applyFill="1" applyBorder="1" applyProtection="1">
      <protection hidden="1"/>
    </xf>
    <xf numFmtId="22" fontId="48" fillId="2" borderId="0" xfId="0" applyNumberFormat="1" applyFont="1" applyFill="1" applyBorder="1" applyProtection="1">
      <protection hidden="1"/>
    </xf>
    <xf numFmtId="22" fontId="48" fillId="2" borderId="0" xfId="0" applyNumberFormat="1" applyFont="1" applyFill="1" applyBorder="1" applyAlignment="1" applyProtection="1">
      <alignment vertical="center"/>
      <protection hidden="1"/>
    </xf>
    <xf numFmtId="22" fontId="48" fillId="2" borderId="0" xfId="0" applyNumberFormat="1" applyFont="1" applyFill="1" applyBorder="1" applyAlignment="1" applyProtection="1">
      <alignment horizontal="centerContinuous" vertical="center"/>
      <protection hidden="1"/>
    </xf>
    <xf numFmtId="0" fontId="48" fillId="2" borderId="0" xfId="0" applyFont="1" applyFill="1" applyBorder="1" applyAlignment="1" applyProtection="1">
      <alignment horizontal="center"/>
      <protection hidden="1"/>
    </xf>
    <xf numFmtId="164" fontId="8" fillId="2" borderId="0" xfId="0" applyNumberFormat="1" applyFont="1" applyFill="1" applyBorder="1" applyProtection="1">
      <protection hidden="1"/>
    </xf>
    <xf numFmtId="0" fontId="8" fillId="2" borderId="0" xfId="0" applyFont="1" applyFill="1" applyBorder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7" fillId="2" borderId="0" xfId="0" quotePrefix="1" applyFont="1" applyFill="1" applyBorder="1" applyProtection="1">
      <protection hidden="1"/>
    </xf>
    <xf numFmtId="20" fontId="7" fillId="2" borderId="0" xfId="0" applyNumberFormat="1" applyFont="1" applyFill="1" applyBorder="1"/>
    <xf numFmtId="22" fontId="7" fillId="2" borderId="0" xfId="0" applyNumberFormat="1" applyFont="1" applyFill="1" applyBorder="1" applyProtection="1">
      <protection hidden="1"/>
    </xf>
    <xf numFmtId="0" fontId="8" fillId="2" borderId="0" xfId="0" applyFont="1" applyFill="1" applyBorder="1" applyAlignment="1" applyProtection="1">
      <alignment horizontal="centerContinuous" wrapText="1"/>
      <protection hidden="1"/>
    </xf>
    <xf numFmtId="0" fontId="7" fillId="2" borderId="0" xfId="0" applyFont="1" applyFill="1" applyBorder="1" applyAlignment="1">
      <alignment horizontal="left" indent="1"/>
    </xf>
    <xf numFmtId="16" fontId="7" fillId="2" borderId="0" xfId="0" quotePrefix="1" applyNumberFormat="1" applyFont="1" applyFill="1" applyBorder="1" applyProtection="1">
      <protection hidden="1"/>
    </xf>
    <xf numFmtId="0" fontId="7" fillId="0" borderId="0" xfId="0" applyFont="1" applyFill="1" applyProtection="1">
      <protection hidden="1"/>
    </xf>
    <xf numFmtId="0" fontId="49" fillId="22" borderId="0" xfId="0" applyFont="1" applyFill="1" applyBorder="1" applyAlignment="1" applyProtection="1">
      <alignment horizontal="left" vertical="center"/>
      <protection hidden="1"/>
    </xf>
    <xf numFmtId="0" fontId="49" fillId="22" borderId="0" xfId="0" applyFont="1" applyFill="1" applyBorder="1" applyAlignment="1" applyProtection="1">
      <alignment horizontal="centerContinuous" vertical="center"/>
      <protection hidden="1"/>
    </xf>
    <xf numFmtId="0" fontId="56" fillId="22" borderId="0" xfId="0" applyFont="1" applyFill="1" applyBorder="1" applyProtection="1">
      <protection hidden="1"/>
    </xf>
    <xf numFmtId="0" fontId="49" fillId="22" borderId="0" xfId="0" applyFont="1" applyFill="1" applyBorder="1" applyProtection="1">
      <protection hidden="1"/>
    </xf>
    <xf numFmtId="0" fontId="8" fillId="23" borderId="0" xfId="0" applyFont="1" applyFill="1" applyBorder="1" applyAlignment="1">
      <alignment horizontal="left" indent="1"/>
    </xf>
    <xf numFmtId="0" fontId="8" fillId="23" borderId="15" xfId="0" applyFont="1" applyFill="1" applyBorder="1" applyAlignment="1">
      <alignment horizontal="left" indent="1"/>
    </xf>
    <xf numFmtId="0" fontId="8" fillId="2" borderId="0" xfId="0" applyFont="1" applyFill="1" applyAlignment="1">
      <alignment horizontal="left" indent="1"/>
    </xf>
    <xf numFmtId="0" fontId="7" fillId="24" borderId="22" xfId="0" applyFont="1" applyFill="1" applyBorder="1" applyAlignment="1" applyProtection="1">
      <alignment horizontal="left" indent="1"/>
      <protection hidden="1"/>
    </xf>
    <xf numFmtId="0" fontId="7" fillId="2" borderId="23" xfId="0" applyFont="1" applyFill="1" applyBorder="1" applyAlignment="1" applyProtection="1">
      <alignment horizontal="left" indent="1"/>
      <protection locked="0"/>
    </xf>
    <xf numFmtId="0" fontId="7" fillId="24" borderId="23" xfId="0" applyFont="1" applyFill="1" applyBorder="1" applyAlignment="1" applyProtection="1">
      <alignment horizontal="left" indent="1"/>
      <protection locked="0"/>
    </xf>
    <xf numFmtId="0" fontId="7" fillId="25" borderId="6" xfId="0" applyFont="1" applyFill="1" applyBorder="1" applyAlignment="1" applyProtection="1">
      <alignment horizontal="left" indent="1"/>
      <protection hidden="1"/>
    </xf>
    <xf numFmtId="0" fontId="7" fillId="25" borderId="19" xfId="0" applyFont="1" applyFill="1" applyBorder="1" applyAlignment="1" applyProtection="1">
      <alignment horizontal="left" indent="1"/>
      <protection locked="0"/>
    </xf>
    <xf numFmtId="0" fontId="7" fillId="24" borderId="6" xfId="0" applyFont="1" applyFill="1" applyBorder="1" applyAlignment="1" applyProtection="1">
      <alignment horizontal="left" indent="1"/>
      <protection hidden="1"/>
    </xf>
    <xf numFmtId="0" fontId="7" fillId="24" borderId="19" xfId="0" applyFont="1" applyFill="1" applyBorder="1" applyAlignment="1" applyProtection="1">
      <alignment horizontal="left" indent="1"/>
      <protection locked="0"/>
    </xf>
    <xf numFmtId="0" fontId="15" fillId="26" borderId="85" xfId="0" applyFont="1" applyFill="1" applyBorder="1" applyAlignment="1" applyProtection="1">
      <alignment vertical="center"/>
      <protection hidden="1"/>
    </xf>
    <xf numFmtId="0" fontId="16" fillId="26" borderId="86" xfId="0" applyFont="1" applyFill="1" applyBorder="1" applyAlignment="1" applyProtection="1">
      <alignment vertical="center"/>
      <protection hidden="1"/>
    </xf>
    <xf numFmtId="0" fontId="16" fillId="26" borderId="87" xfId="0" applyFont="1" applyFill="1" applyBorder="1" applyAlignment="1" applyProtection="1">
      <alignment vertical="center"/>
      <protection hidden="1"/>
    </xf>
    <xf numFmtId="0" fontId="7" fillId="0" borderId="0" xfId="0" applyFont="1" applyFill="1" applyBorder="1" applyProtection="1">
      <protection hidden="1"/>
    </xf>
    <xf numFmtId="0" fontId="37" fillId="0" borderId="0" xfId="0" applyFont="1" applyFill="1" applyBorder="1" applyAlignment="1" applyProtection="1">
      <alignment horizontal="center"/>
      <protection hidden="1"/>
    </xf>
    <xf numFmtId="0" fontId="8" fillId="28" borderId="0" xfId="0" applyFont="1" applyFill="1" applyBorder="1" applyAlignment="1" applyProtection="1">
      <alignment vertical="center"/>
      <protection hidden="1"/>
    </xf>
    <xf numFmtId="0" fontId="2" fillId="28" borderId="0" xfId="0" applyFont="1" applyFill="1" applyBorder="1" applyAlignment="1" applyProtection="1">
      <alignment vertical="center"/>
      <protection hidden="1"/>
    </xf>
    <xf numFmtId="0" fontId="8" fillId="28" borderId="0" xfId="0" applyFont="1" applyFill="1" applyBorder="1" applyAlignment="1">
      <alignment horizontal="centerContinuous" vertical="center"/>
    </xf>
    <xf numFmtId="0" fontId="8" fillId="28" borderId="0" xfId="0" applyFont="1" applyFill="1" applyBorder="1" applyAlignment="1" applyProtection="1">
      <alignment horizontal="centerContinuous" vertical="center"/>
      <protection hidden="1"/>
    </xf>
    <xf numFmtId="0" fontId="2" fillId="28" borderId="0" xfId="0" applyFont="1" applyFill="1" applyBorder="1" applyAlignment="1" applyProtection="1">
      <alignment horizontal="centerContinuous" vertical="center"/>
      <protection hidden="1"/>
    </xf>
    <xf numFmtId="0" fontId="49" fillId="28" borderId="0" xfId="0" applyFont="1" applyFill="1" applyBorder="1" applyAlignment="1" applyProtection="1">
      <alignment vertical="center"/>
      <protection hidden="1"/>
    </xf>
    <xf numFmtId="0" fontId="2" fillId="28" borderId="0" xfId="0" applyFont="1" applyFill="1" applyBorder="1" applyAlignment="1">
      <alignment horizontal="centerContinuous" vertical="center"/>
    </xf>
    <xf numFmtId="0" fontId="3" fillId="28" borderId="0" xfId="0" applyFont="1" applyFill="1" applyBorder="1" applyProtection="1">
      <protection hidden="1"/>
    </xf>
    <xf numFmtId="0" fontId="3" fillId="28" borderId="0" xfId="0" applyFont="1" applyFill="1" applyBorder="1" applyAlignment="1" applyProtection="1">
      <alignment horizontal="center"/>
      <protection hidden="1"/>
    </xf>
    <xf numFmtId="0" fontId="8" fillId="28" borderId="0" xfId="0" applyFont="1" applyFill="1" applyBorder="1" applyProtection="1">
      <protection hidden="1"/>
    </xf>
    <xf numFmtId="0" fontId="8" fillId="28" borderId="0" xfId="0" applyFont="1" applyFill="1" applyBorder="1" applyAlignment="1" applyProtection="1">
      <alignment horizontal="center"/>
      <protection hidden="1"/>
    </xf>
    <xf numFmtId="0" fontId="8" fillId="28" borderId="0" xfId="0" applyFont="1" applyFill="1" applyBorder="1" applyAlignment="1" applyProtection="1">
      <alignment horizontal="center" vertical="top"/>
      <protection hidden="1"/>
    </xf>
    <xf numFmtId="0" fontId="8" fillId="28" borderId="0" xfId="0" applyFont="1" applyFill="1" applyBorder="1" applyAlignment="1">
      <alignment horizontal="right"/>
    </xf>
    <xf numFmtId="0" fontId="8" fillId="28" borderId="0" xfId="0" applyFont="1" applyFill="1" applyBorder="1" applyAlignment="1">
      <alignment horizontal="center"/>
    </xf>
    <xf numFmtId="0" fontId="8" fillId="28" borderId="0" xfId="0" applyFont="1" applyFill="1" applyBorder="1" applyAlignment="1"/>
    <xf numFmtId="0" fontId="46" fillId="28" borderId="0" xfId="0" applyFont="1" applyFill="1" applyBorder="1" applyAlignment="1" applyProtection="1">
      <alignment vertical="center"/>
      <protection hidden="1"/>
    </xf>
    <xf numFmtId="0" fontId="56" fillId="28" borderId="0" xfId="0" applyFont="1" applyFill="1" applyBorder="1" applyProtection="1">
      <protection hidden="1"/>
    </xf>
    <xf numFmtId="14" fontId="7" fillId="28" borderId="0" xfId="0" applyNumberFormat="1" applyFont="1" applyFill="1" applyBorder="1" applyProtection="1">
      <protection hidden="1"/>
    </xf>
    <xf numFmtId="14" fontId="31" fillId="28" borderId="0" xfId="0" applyNumberFormat="1" applyFont="1" applyFill="1" applyBorder="1" applyProtection="1">
      <protection hidden="1"/>
    </xf>
    <xf numFmtId="14" fontId="7" fillId="28" borderId="0" xfId="0" applyNumberFormat="1" applyFont="1" applyFill="1" applyBorder="1" applyAlignment="1" applyProtection="1">
      <alignment horizontal="center" vertical="center"/>
      <protection hidden="1"/>
    </xf>
    <xf numFmtId="0" fontId="7" fillId="28" borderId="0" xfId="0" applyFont="1" applyFill="1" applyBorder="1" applyAlignment="1" applyProtection="1">
      <alignment horizontal="right"/>
      <protection hidden="1"/>
    </xf>
    <xf numFmtId="0" fontId="7" fillId="28" borderId="0" xfId="0" applyFont="1" applyFill="1" applyBorder="1" applyAlignment="1" applyProtection="1">
      <protection hidden="1"/>
    </xf>
    <xf numFmtId="0" fontId="7" fillId="28" borderId="0" xfId="0" applyFont="1" applyFill="1" applyBorder="1" applyAlignment="1" applyProtection="1">
      <alignment horizontal="left"/>
      <protection hidden="1"/>
    </xf>
    <xf numFmtId="0" fontId="12" fillId="28" borderId="0" xfId="0" applyFont="1" applyFill="1" applyBorder="1" applyAlignment="1" applyProtection="1">
      <alignment horizontal="center" vertical="center"/>
      <protection hidden="1"/>
    </xf>
    <xf numFmtId="0" fontId="7" fillId="28" borderId="0" xfId="0" applyFont="1" applyFill="1" applyBorder="1" applyAlignment="1" applyProtection="1">
      <alignment horizontal="center" vertical="center"/>
      <protection hidden="1"/>
    </xf>
    <xf numFmtId="0" fontId="7" fillId="28" borderId="0" xfId="0" applyFont="1" applyFill="1" applyBorder="1" applyAlignment="1" applyProtection="1">
      <alignment horizontal="left" vertical="center"/>
      <protection hidden="1"/>
    </xf>
    <xf numFmtId="0" fontId="8" fillId="28" borderId="0" xfId="0" applyFont="1" applyFill="1" applyBorder="1" applyAlignment="1" applyProtection="1">
      <alignment horizontal="center" vertical="center"/>
      <protection hidden="1"/>
    </xf>
    <xf numFmtId="0" fontId="13" fillId="28" borderId="0" xfId="0" applyFont="1" applyFill="1" applyBorder="1" applyAlignment="1" applyProtection="1">
      <alignment horizontal="center" vertical="center"/>
      <protection hidden="1"/>
    </xf>
    <xf numFmtId="0" fontId="48" fillId="28" borderId="0" xfId="0" applyFont="1" applyFill="1" applyBorder="1" applyAlignment="1" applyProtection="1">
      <alignment vertical="center"/>
      <protection hidden="1"/>
    </xf>
    <xf numFmtId="0" fontId="21" fillId="28" borderId="0" xfId="0" applyFont="1" applyFill="1" applyBorder="1" applyAlignment="1" applyProtection="1">
      <alignment horizontal="center" vertical="center"/>
      <protection hidden="1"/>
    </xf>
    <xf numFmtId="0" fontId="32" fillId="28" borderId="0" xfId="0" applyFont="1" applyFill="1" applyBorder="1" applyAlignment="1" applyProtection="1">
      <alignment vertical="center"/>
      <protection hidden="1"/>
    </xf>
    <xf numFmtId="0" fontId="7" fillId="28" borderId="0" xfId="0" applyFont="1" applyFill="1" applyBorder="1" applyProtection="1">
      <protection hidden="1"/>
    </xf>
    <xf numFmtId="0" fontId="6" fillId="28" borderId="0" xfId="0" applyFont="1" applyFill="1" applyBorder="1" applyAlignment="1" applyProtection="1">
      <protection hidden="1"/>
    </xf>
    <xf numFmtId="0" fontId="9" fillId="28" borderId="0" xfId="0" applyFont="1" applyFill="1" applyBorder="1" applyAlignment="1" applyProtection="1">
      <alignment horizontal="center"/>
      <protection hidden="1"/>
    </xf>
    <xf numFmtId="0" fontId="49" fillId="28" borderId="0" xfId="0" applyNumberFormat="1" applyFont="1" applyFill="1" applyBorder="1" applyProtection="1">
      <protection hidden="1"/>
    </xf>
    <xf numFmtId="0" fontId="9" fillId="28" borderId="0" xfId="0" applyFont="1" applyFill="1" applyAlignment="1" applyProtection="1">
      <alignment horizontal="center"/>
      <protection hidden="1"/>
    </xf>
    <xf numFmtId="0" fontId="11" fillId="28" borderId="0" xfId="0" applyNumberFormat="1" applyFont="1" applyFill="1" applyBorder="1" applyAlignment="1" applyProtection="1">
      <alignment vertical="center" wrapText="1"/>
      <protection hidden="1"/>
    </xf>
    <xf numFmtId="0" fontId="2" fillId="28" borderId="0" xfId="0" applyFont="1" applyFill="1" applyBorder="1" applyAlignment="1" applyProtection="1">
      <alignment horizontal="centerContinuous"/>
      <protection hidden="1"/>
    </xf>
    <xf numFmtId="0" fontId="11" fillId="28" borderId="0" xfId="0" applyNumberFormat="1" applyFont="1" applyFill="1" applyBorder="1" applyAlignment="1" applyProtection="1">
      <alignment horizontal="centerContinuous" vertical="center" wrapText="1"/>
      <protection hidden="1"/>
    </xf>
    <xf numFmtId="0" fontId="6" fillId="28" borderId="0" xfId="0" applyFont="1" applyFill="1" applyBorder="1" applyAlignment="1" applyProtection="1">
      <alignment horizontal="centerContinuous"/>
      <protection hidden="1"/>
    </xf>
    <xf numFmtId="0" fontId="6" fillId="28" borderId="0" xfId="0" applyFont="1" applyFill="1" applyBorder="1" applyProtection="1">
      <protection hidden="1"/>
    </xf>
    <xf numFmtId="0" fontId="13" fillId="28" borderId="0" xfId="0" applyFont="1" applyFill="1" applyBorder="1" applyAlignment="1" applyProtection="1">
      <alignment horizontal="left" vertical="center"/>
      <protection hidden="1"/>
    </xf>
    <xf numFmtId="0" fontId="48" fillId="28" borderId="0" xfId="0" applyFont="1" applyFill="1" applyBorder="1" applyAlignment="1" applyProtection="1">
      <alignment horizontal="centerContinuous" vertical="center"/>
      <protection hidden="1"/>
    </xf>
    <xf numFmtId="0" fontId="39" fillId="28" borderId="0" xfId="0" applyFont="1" applyFill="1" applyBorder="1" applyAlignment="1" applyProtection="1">
      <alignment horizontal="center"/>
      <protection hidden="1"/>
    </xf>
    <xf numFmtId="0" fontId="39" fillId="28" borderId="0" xfId="0" applyFont="1" applyFill="1" applyBorder="1" applyAlignment="1">
      <alignment horizontal="center"/>
    </xf>
    <xf numFmtId="0" fontId="3" fillId="28" borderId="0" xfId="0" applyFont="1" applyFill="1" applyProtection="1">
      <protection hidden="1"/>
    </xf>
    <xf numFmtId="0" fontId="17" fillId="28" borderId="0" xfId="0" applyFont="1" applyFill="1" applyAlignment="1">
      <alignment horizontal="center" vertical="center"/>
    </xf>
    <xf numFmtId="0" fontId="10" fillId="28" borderId="0" xfId="0" applyFont="1" applyFill="1" applyBorder="1" applyAlignment="1" applyProtection="1">
      <alignment vertical="center" wrapText="1"/>
      <protection hidden="1"/>
    </xf>
    <xf numFmtId="0" fontId="7" fillId="28" borderId="0" xfId="0" applyFont="1" applyFill="1" applyBorder="1"/>
    <xf numFmtId="20" fontId="7" fillId="28" borderId="0" xfId="0" applyNumberFormat="1" applyFont="1" applyFill="1" applyBorder="1"/>
    <xf numFmtId="22" fontId="31" fillId="28" borderId="0" xfId="0" applyNumberFormat="1" applyFont="1" applyFill="1" applyBorder="1" applyAlignment="1" applyProtection="1">
      <alignment horizontal="center" vertical="center"/>
      <protection hidden="1"/>
    </xf>
    <xf numFmtId="0" fontId="0" fillId="28" borderId="0" xfId="0" applyFill="1" applyProtection="1">
      <protection hidden="1"/>
    </xf>
    <xf numFmtId="0" fontId="8" fillId="28" borderId="0" xfId="0" applyFont="1" applyFill="1" applyBorder="1" applyAlignment="1" applyProtection="1">
      <alignment horizontal="right"/>
      <protection hidden="1"/>
    </xf>
    <xf numFmtId="0" fontId="39" fillId="28" borderId="0" xfId="0" applyFont="1" applyFill="1" applyBorder="1" applyAlignment="1">
      <alignment horizontal="center" vertical="center"/>
    </xf>
    <xf numFmtId="0" fontId="8" fillId="28" borderId="0" xfId="0" applyFont="1" applyFill="1" applyBorder="1" applyAlignment="1">
      <alignment horizontal="center" vertical="center"/>
    </xf>
    <xf numFmtId="0" fontId="8" fillId="28" borderId="0" xfId="0" applyFont="1" applyFill="1"/>
    <xf numFmtId="0" fontId="8" fillId="28" borderId="0" xfId="0" applyFont="1" applyFill="1" applyBorder="1" applyAlignment="1" applyProtection="1">
      <alignment horizontal="centerContinuous" wrapText="1"/>
      <protection hidden="1"/>
    </xf>
    <xf numFmtId="0" fontId="7" fillId="28" borderId="0" xfId="0" applyFont="1" applyFill="1" applyBorder="1" applyAlignment="1">
      <alignment horizontal="left" indent="1"/>
    </xf>
    <xf numFmtId="165" fontId="7" fillId="28" borderId="0" xfId="0" applyNumberFormat="1" applyFont="1" applyFill="1" applyBorder="1" applyProtection="1">
      <protection hidden="1"/>
    </xf>
    <xf numFmtId="0" fontId="7" fillId="28" borderId="0" xfId="0" applyFont="1" applyFill="1" applyProtection="1">
      <protection hidden="1"/>
    </xf>
    <xf numFmtId="0" fontId="39" fillId="28" borderId="0" xfId="0" applyFont="1" applyFill="1" applyAlignment="1">
      <alignment horizontal="center" vertical="center"/>
    </xf>
    <xf numFmtId="0" fontId="8" fillId="28" borderId="0" xfId="0" applyFont="1" applyFill="1" applyBorder="1" applyAlignment="1" applyProtection="1">
      <alignment horizontal="left" vertical="center"/>
      <protection hidden="1"/>
    </xf>
    <xf numFmtId="0" fontId="2" fillId="28" borderId="0" xfId="0" applyFont="1" applyFill="1" applyBorder="1" applyAlignment="1" applyProtection="1">
      <alignment horizontal="center" vertical="center"/>
      <protection hidden="1"/>
    </xf>
    <xf numFmtId="0" fontId="0" fillId="28" borderId="0" xfId="0" applyFont="1" applyFill="1" applyBorder="1" applyAlignment="1" applyProtection="1">
      <alignment vertical="center"/>
      <protection hidden="1"/>
    </xf>
    <xf numFmtId="0" fontId="1" fillId="28" borderId="0" xfId="0" applyFont="1" applyFill="1" applyBorder="1" applyAlignment="1" applyProtection="1">
      <alignment vertical="center"/>
      <protection hidden="1"/>
    </xf>
    <xf numFmtId="0" fontId="14" fillId="28" borderId="0" xfId="0" applyFont="1" applyFill="1" applyBorder="1" applyAlignment="1" applyProtection="1">
      <alignment vertical="center"/>
      <protection hidden="1"/>
    </xf>
    <xf numFmtId="0" fontId="12" fillId="28" borderId="0" xfId="0" applyFont="1" applyFill="1" applyBorder="1" applyAlignment="1">
      <alignment horizontal="center" vertical="center"/>
    </xf>
    <xf numFmtId="0" fontId="0" fillId="28" borderId="0" xfId="0" applyFill="1" applyBorder="1" applyAlignment="1" applyProtection="1">
      <alignment vertical="center"/>
      <protection hidden="1"/>
    </xf>
    <xf numFmtId="0" fontId="49" fillId="28" borderId="0" xfId="0" applyFont="1" applyFill="1" applyBorder="1" applyAlignment="1" applyProtection="1">
      <alignment horizontal="center"/>
      <protection hidden="1"/>
    </xf>
    <xf numFmtId="0" fontId="31" fillId="28" borderId="0" xfId="0" applyFont="1" applyFill="1" applyBorder="1" applyProtection="1">
      <protection hidden="1"/>
    </xf>
    <xf numFmtId="3" fontId="12" fillId="28" borderId="0" xfId="0" applyNumberFormat="1" applyFont="1" applyFill="1" applyBorder="1" applyProtection="1">
      <protection hidden="1"/>
    </xf>
    <xf numFmtId="0" fontId="49" fillId="28" borderId="0" xfId="0" applyFont="1" applyFill="1" applyAlignment="1" applyProtection="1">
      <alignment horizontal="center"/>
      <protection hidden="1"/>
    </xf>
    <xf numFmtId="0" fontId="48" fillId="28" borderId="0" xfId="0" applyFont="1" applyFill="1" applyBorder="1" applyAlignment="1" applyProtection="1">
      <alignment horizontal="center"/>
      <protection hidden="1"/>
    </xf>
    <xf numFmtId="0" fontId="42" fillId="28" borderId="0" xfId="0" applyFont="1" applyFill="1" applyBorder="1" applyAlignment="1" applyProtection="1">
      <alignment horizontal="center"/>
      <protection hidden="1"/>
    </xf>
    <xf numFmtId="0" fontId="8" fillId="28" borderId="0" xfId="0" applyFont="1" applyFill="1" applyBorder="1"/>
    <xf numFmtId="0" fontId="39" fillId="28" borderId="0" xfId="0" applyFont="1" applyFill="1" applyBorder="1" applyAlignment="1" applyProtection="1">
      <alignment horizontal="left" vertical="center"/>
      <protection hidden="1"/>
    </xf>
    <xf numFmtId="0" fontId="21" fillId="28" borderId="0" xfId="0" applyFont="1" applyFill="1" applyBorder="1" applyAlignment="1" applyProtection="1">
      <alignment horizontal="center" vertical="center"/>
      <protection locked="0" hidden="1"/>
    </xf>
    <xf numFmtId="0" fontId="39" fillId="28" borderId="0" xfId="0" applyFont="1" applyFill="1" applyBorder="1" applyAlignment="1" applyProtection="1">
      <alignment horizontal="center" vertical="center"/>
      <protection hidden="1"/>
    </xf>
    <xf numFmtId="0" fontId="37" fillId="28" borderId="0" xfId="0" applyFont="1" applyFill="1" applyBorder="1" applyAlignment="1" applyProtection="1">
      <alignment horizontal="center"/>
      <protection hidden="1"/>
    </xf>
    <xf numFmtId="2" fontId="7" fillId="28" borderId="0" xfId="0" applyNumberFormat="1" applyFont="1" applyFill="1" applyBorder="1"/>
    <xf numFmtId="0" fontId="21" fillId="28" borderId="0" xfId="0" applyFont="1" applyFill="1" applyAlignment="1" applyProtection="1">
      <alignment horizontal="center" vertical="center"/>
      <protection locked="0" hidden="1"/>
    </xf>
    <xf numFmtId="0" fontId="13" fillId="28" borderId="0" xfId="0" applyFont="1" applyFill="1" applyAlignment="1" applyProtection="1">
      <alignment horizontal="center" vertical="center"/>
      <protection hidden="1"/>
    </xf>
    <xf numFmtId="0" fontId="49" fillId="28" borderId="0" xfId="0" applyFont="1" applyFill="1" applyBorder="1" applyAlignment="1" applyProtection="1">
      <alignment horizontal="left" vertical="center"/>
      <protection hidden="1"/>
    </xf>
    <xf numFmtId="0" fontId="49" fillId="28" borderId="0" xfId="0" applyFont="1" applyFill="1" applyBorder="1" applyAlignment="1" applyProtection="1">
      <alignment horizontal="centerContinuous" vertical="center"/>
      <protection hidden="1"/>
    </xf>
    <xf numFmtId="0" fontId="49" fillId="28" borderId="0" xfId="0" applyFont="1" applyFill="1" applyBorder="1" applyProtection="1">
      <protection hidden="1"/>
    </xf>
    <xf numFmtId="0" fontId="49" fillId="28" borderId="0" xfId="0" applyFont="1" applyFill="1" applyAlignment="1" applyProtection="1">
      <alignment horizontal="center"/>
      <protection locked="0" hidden="1"/>
    </xf>
    <xf numFmtId="0" fontId="3" fillId="28" borderId="0" xfId="0" applyFont="1" applyFill="1" applyAlignment="1" applyProtection="1">
      <alignment horizontal="center"/>
      <protection hidden="1"/>
    </xf>
    <xf numFmtId="0" fontId="3" fillId="28" borderId="0" xfId="0" applyFont="1" applyFill="1" applyAlignment="1" applyProtection="1">
      <alignment horizontal="center" wrapText="1"/>
      <protection hidden="1"/>
    </xf>
    <xf numFmtId="0" fontId="8" fillId="30" borderId="49" xfId="0" applyFont="1" applyFill="1" applyBorder="1" applyAlignment="1" applyProtection="1">
      <alignment horizontal="centerContinuous" vertical="center"/>
      <protection hidden="1"/>
    </xf>
    <xf numFmtId="0" fontId="8" fillId="30" borderId="50" xfId="0" applyFont="1" applyFill="1" applyBorder="1" applyAlignment="1" applyProtection="1">
      <alignment horizontal="centerContinuous" vertical="center"/>
      <protection hidden="1"/>
    </xf>
    <xf numFmtId="0" fontId="8" fillId="30" borderId="51" xfId="0" applyFont="1" applyFill="1" applyBorder="1" applyAlignment="1" applyProtection="1">
      <alignment horizontal="centerContinuous" vertical="center"/>
      <protection hidden="1"/>
    </xf>
    <xf numFmtId="0" fontId="8" fillId="30" borderId="52" xfId="0" applyFont="1" applyFill="1" applyBorder="1" applyAlignment="1" applyProtection="1">
      <alignment horizontal="center" vertical="center"/>
      <protection hidden="1"/>
    </xf>
    <xf numFmtId="0" fontId="8" fillId="30" borderId="53" xfId="0" applyFont="1" applyFill="1" applyBorder="1" applyAlignment="1" applyProtection="1">
      <alignment horizontal="left" vertical="center"/>
      <protection hidden="1"/>
    </xf>
    <xf numFmtId="0" fontId="8" fillId="30" borderId="53" xfId="0" applyFont="1" applyFill="1" applyBorder="1" applyAlignment="1" applyProtection="1">
      <alignment horizontal="center" vertical="center"/>
      <protection hidden="1"/>
    </xf>
    <xf numFmtId="0" fontId="8" fillId="30" borderId="54" xfId="0" applyFont="1" applyFill="1" applyBorder="1" applyAlignment="1" applyProtection="1">
      <alignment horizontal="center" vertical="center"/>
      <protection hidden="1"/>
    </xf>
    <xf numFmtId="0" fontId="9" fillId="30" borderId="52" xfId="0" applyFont="1" applyFill="1" applyBorder="1" applyAlignment="1" applyProtection="1">
      <alignment horizontal="center" vertical="center"/>
      <protection hidden="1"/>
    </xf>
    <xf numFmtId="0" fontId="9" fillId="30" borderId="53" xfId="0" applyFont="1" applyFill="1" applyBorder="1" applyAlignment="1" applyProtection="1">
      <alignment horizontal="left" vertical="center"/>
      <protection hidden="1"/>
    </xf>
    <xf numFmtId="0" fontId="9" fillId="30" borderId="53" xfId="0" applyFont="1" applyFill="1" applyBorder="1" applyAlignment="1" applyProtection="1">
      <alignment horizontal="center" vertical="center"/>
      <protection hidden="1"/>
    </xf>
    <xf numFmtId="0" fontId="9" fillId="30" borderId="54" xfId="0" applyFont="1" applyFill="1" applyBorder="1" applyAlignment="1" applyProtection="1">
      <alignment horizontal="center" vertical="center"/>
      <protection hidden="1"/>
    </xf>
    <xf numFmtId="14" fontId="12" fillId="29" borderId="50" xfId="0" quotePrefix="1" applyNumberFormat="1" applyFont="1" applyFill="1" applyBorder="1" applyAlignment="1" applyProtection="1">
      <alignment horizontal="center" vertical="center"/>
      <protection hidden="1"/>
    </xf>
    <xf numFmtId="166" fontId="12" fillId="29" borderId="50" xfId="0" quotePrefix="1" applyNumberFormat="1" applyFont="1" applyFill="1" applyBorder="1" applyAlignment="1" applyProtection="1">
      <alignment horizontal="center" vertical="center"/>
      <protection hidden="1"/>
    </xf>
    <xf numFmtId="14" fontId="12" fillId="29" borderId="62" xfId="0" applyNumberFormat="1" applyFont="1" applyFill="1" applyBorder="1" applyAlignment="1" applyProtection="1">
      <alignment horizontal="center" vertical="center"/>
      <protection hidden="1"/>
    </xf>
    <xf numFmtId="0" fontId="7" fillId="29" borderId="63" xfId="0" applyFont="1" applyFill="1" applyBorder="1" applyAlignment="1" applyProtection="1">
      <alignment horizontal="right" vertical="center"/>
      <protection hidden="1"/>
    </xf>
    <xf numFmtId="0" fontId="8" fillId="29" borderId="62" xfId="0" applyFont="1" applyFill="1" applyBorder="1" applyAlignment="1" applyProtection="1">
      <alignment horizontal="center"/>
      <protection locked="0" hidden="1"/>
    </xf>
    <xf numFmtId="0" fontId="8" fillId="29" borderId="64" xfId="0" applyFont="1" applyFill="1" applyBorder="1" applyAlignment="1" applyProtection="1">
      <alignment horizontal="center"/>
      <protection locked="0"/>
    </xf>
    <xf numFmtId="0" fontId="8" fillId="29" borderId="63" xfId="0" applyFont="1" applyFill="1" applyBorder="1" applyAlignment="1" applyProtection="1">
      <alignment horizontal="center"/>
      <protection locked="0" hidden="1"/>
    </xf>
    <xf numFmtId="0" fontId="7" fillId="29" borderId="51" xfId="0" applyFont="1" applyFill="1" applyBorder="1" applyAlignment="1">
      <alignment horizontal="left" vertical="center"/>
    </xf>
    <xf numFmtId="14" fontId="12" fillId="29" borderId="0" xfId="0" applyNumberFormat="1" applyFont="1" applyFill="1" applyBorder="1" applyAlignment="1" applyProtection="1">
      <alignment horizontal="center" vertical="center"/>
      <protection hidden="1"/>
    </xf>
    <xf numFmtId="166" fontId="12" fillId="29" borderId="0" xfId="0" applyNumberFormat="1" applyFont="1" applyFill="1" applyBorder="1" applyAlignment="1" applyProtection="1">
      <alignment horizontal="center" vertical="center"/>
      <protection hidden="1"/>
    </xf>
    <xf numFmtId="14" fontId="12" fillId="29" borderId="10" xfId="0" applyNumberFormat="1" applyFont="1" applyFill="1" applyBorder="1" applyAlignment="1" applyProtection="1">
      <alignment horizontal="center" vertical="center"/>
      <protection hidden="1"/>
    </xf>
    <xf numFmtId="0" fontId="7" fillId="29" borderId="15" xfId="0" applyFont="1" applyFill="1" applyBorder="1" applyAlignment="1" applyProtection="1">
      <alignment horizontal="right" vertical="center"/>
      <protection hidden="1"/>
    </xf>
    <xf numFmtId="0" fontId="8" fillId="29" borderId="0" xfId="0" applyFont="1" applyFill="1" applyBorder="1" applyAlignment="1" applyProtection="1">
      <alignment horizontal="center"/>
      <protection locked="0" hidden="1"/>
    </xf>
    <xf numFmtId="0" fontId="8" fillId="29" borderId="9" xfId="0" applyFont="1" applyFill="1" applyBorder="1" applyAlignment="1" applyProtection="1">
      <alignment horizontal="center"/>
      <protection locked="0"/>
    </xf>
    <xf numFmtId="0" fontId="7" fillId="29" borderId="56" xfId="0" applyFont="1" applyFill="1" applyBorder="1" applyAlignment="1">
      <alignment horizontal="left" vertical="center"/>
    </xf>
    <xf numFmtId="49" fontId="12" fillId="29" borderId="10" xfId="0" applyNumberFormat="1" applyFont="1" applyFill="1" applyBorder="1" applyAlignment="1" applyProtection="1">
      <alignment horizontal="center" vertical="center"/>
      <protection hidden="1"/>
    </xf>
    <xf numFmtId="14" fontId="12" fillId="29" borderId="53" xfId="0" applyNumberFormat="1" applyFont="1" applyFill="1" applyBorder="1" applyAlignment="1" applyProtection="1">
      <alignment horizontal="center" vertical="center"/>
      <protection hidden="1"/>
    </xf>
    <xf numFmtId="166" fontId="12" fillId="29" borderId="53" xfId="0" applyNumberFormat="1" applyFont="1" applyFill="1" applyBorder="1" applyAlignment="1" applyProtection="1">
      <alignment horizontal="center" vertical="center"/>
      <protection hidden="1"/>
    </xf>
    <xf numFmtId="49" fontId="12" fillId="29" borderId="65" xfId="0" applyNumberFormat="1" applyFont="1" applyFill="1" applyBorder="1" applyAlignment="1" applyProtection="1">
      <alignment horizontal="center" vertical="center"/>
      <protection hidden="1"/>
    </xf>
    <xf numFmtId="0" fontId="7" fillId="29" borderId="66" xfId="0" applyFont="1" applyFill="1" applyBorder="1" applyAlignment="1" applyProtection="1">
      <alignment horizontal="right" vertical="center"/>
      <protection hidden="1"/>
    </xf>
    <xf numFmtId="0" fontId="8" fillId="29" borderId="53" xfId="0" applyFont="1" applyFill="1" applyBorder="1" applyAlignment="1" applyProtection="1">
      <alignment horizontal="center"/>
      <protection locked="0" hidden="1"/>
    </xf>
    <xf numFmtId="0" fontId="8" fillId="29" borderId="67" xfId="0" applyFont="1" applyFill="1" applyBorder="1" applyAlignment="1" applyProtection="1">
      <alignment horizontal="center"/>
      <protection locked="0"/>
    </xf>
    <xf numFmtId="0" fontId="7" fillId="29" borderId="54" xfId="0" applyFont="1" applyFill="1" applyBorder="1" applyAlignment="1">
      <alignment horizontal="left" vertical="center"/>
    </xf>
    <xf numFmtId="14" fontId="12" fillId="29" borderId="50" xfId="0" applyNumberFormat="1" applyFont="1" applyFill="1" applyBorder="1" applyAlignment="1" applyProtection="1">
      <alignment horizontal="center" vertical="center"/>
      <protection hidden="1"/>
    </xf>
    <xf numFmtId="0" fontId="8" fillId="29" borderId="50" xfId="0" applyFont="1" applyFill="1" applyBorder="1" applyAlignment="1" applyProtection="1">
      <alignment horizontal="center" vertical="center"/>
      <protection locked="0"/>
    </xf>
    <xf numFmtId="0" fontId="8" fillId="29" borderId="64" xfId="0" applyFont="1" applyFill="1" applyBorder="1" applyAlignment="1" applyProtection="1">
      <alignment horizontal="center" vertical="center"/>
      <protection locked="0"/>
    </xf>
    <xf numFmtId="0" fontId="7" fillId="29" borderId="51" xfId="0" applyFont="1" applyFill="1" applyBorder="1" applyAlignment="1" applyProtection="1">
      <alignment vertical="center"/>
    </xf>
    <xf numFmtId="14" fontId="12" fillId="29" borderId="53" xfId="0" quotePrefix="1" applyNumberFormat="1" applyFont="1" applyFill="1" applyBorder="1" applyAlignment="1" applyProtection="1">
      <alignment horizontal="center" vertical="center"/>
      <protection hidden="1"/>
    </xf>
    <xf numFmtId="166" fontId="12" fillId="29" borderId="53" xfId="0" quotePrefix="1" applyNumberFormat="1" applyFont="1" applyFill="1" applyBorder="1" applyAlignment="1" applyProtection="1">
      <alignment horizontal="center" vertical="center"/>
      <protection hidden="1"/>
    </xf>
    <xf numFmtId="0" fontId="8" fillId="29" borderId="53" xfId="0" applyFont="1" applyFill="1" applyBorder="1" applyAlignment="1" applyProtection="1">
      <alignment horizontal="center" vertical="center"/>
      <protection locked="0"/>
    </xf>
    <xf numFmtId="0" fontId="8" fillId="29" borderId="67" xfId="0" applyFont="1" applyFill="1" applyBorder="1" applyAlignment="1" applyProtection="1">
      <alignment horizontal="center" vertical="center"/>
      <protection locked="0"/>
    </xf>
    <xf numFmtId="0" fontId="7" fillId="29" borderId="54" xfId="0" applyFont="1" applyFill="1" applyBorder="1" applyAlignment="1" applyProtection="1">
      <alignment vertical="center"/>
    </xf>
    <xf numFmtId="14" fontId="54" fillId="29" borderId="80" xfId="0" quotePrefix="1" applyNumberFormat="1" applyFont="1" applyFill="1" applyBorder="1" applyAlignment="1" applyProtection="1">
      <alignment horizontal="center" vertical="center"/>
      <protection hidden="1"/>
    </xf>
    <xf numFmtId="14" fontId="12" fillId="29" borderId="81" xfId="0" quotePrefix="1" applyNumberFormat="1" applyFont="1" applyFill="1" applyBorder="1" applyAlignment="1" applyProtection="1">
      <alignment horizontal="center" vertical="center"/>
      <protection hidden="1"/>
    </xf>
    <xf numFmtId="166" fontId="12" fillId="29" borderId="81" xfId="0" quotePrefix="1" applyNumberFormat="1" applyFont="1" applyFill="1" applyBorder="1" applyAlignment="1" applyProtection="1">
      <alignment horizontal="center" vertical="center"/>
      <protection hidden="1"/>
    </xf>
    <xf numFmtId="14" fontId="12" fillId="29" borderId="81" xfId="0" applyNumberFormat="1" applyFont="1" applyFill="1" applyBorder="1" applyAlignment="1" applyProtection="1">
      <alignment horizontal="center" vertical="center"/>
      <protection hidden="1"/>
    </xf>
    <xf numFmtId="0" fontId="7" fillId="29" borderId="82" xfId="0" applyFont="1" applyFill="1" applyBorder="1" applyAlignment="1" applyProtection="1">
      <alignment horizontal="right" vertical="center"/>
      <protection hidden="1"/>
    </xf>
    <xf numFmtId="0" fontId="8" fillId="29" borderId="81" xfId="0" applyFont="1" applyFill="1" applyBorder="1" applyAlignment="1" applyProtection="1">
      <alignment horizontal="center" vertical="center"/>
      <protection locked="0"/>
    </xf>
    <xf numFmtId="0" fontId="8" fillId="29" borderId="83" xfId="0" applyFont="1" applyFill="1" applyBorder="1" applyAlignment="1" applyProtection="1">
      <alignment horizontal="center" vertical="center"/>
      <protection locked="0"/>
    </xf>
    <xf numFmtId="0" fontId="7" fillId="29" borderId="84" xfId="0" applyFont="1" applyFill="1" applyBorder="1" applyAlignment="1" applyProtection="1">
      <alignment vertical="center"/>
    </xf>
    <xf numFmtId="14" fontId="54" fillId="29" borderId="57" xfId="0" quotePrefix="1" applyNumberFormat="1" applyFont="1" applyFill="1" applyBorder="1" applyAlignment="1" applyProtection="1">
      <alignment horizontal="center" vertical="center"/>
      <protection hidden="1"/>
    </xf>
    <xf numFmtId="14" fontId="12" fillId="29" borderId="58" xfId="0" quotePrefix="1" applyNumberFormat="1" applyFont="1" applyFill="1" applyBorder="1" applyAlignment="1" applyProtection="1">
      <alignment horizontal="center" vertical="center"/>
      <protection hidden="1"/>
    </xf>
    <xf numFmtId="166" fontId="12" fillId="29" borderId="58" xfId="0" quotePrefix="1" applyNumberFormat="1" applyFont="1" applyFill="1" applyBorder="1" applyAlignment="1" applyProtection="1">
      <alignment horizontal="center" vertical="center"/>
      <protection hidden="1"/>
    </xf>
    <xf numFmtId="14" fontId="12" fillId="29" borderId="58" xfId="0" applyNumberFormat="1" applyFont="1" applyFill="1" applyBorder="1" applyAlignment="1" applyProtection="1">
      <alignment horizontal="center" vertical="center"/>
      <protection hidden="1"/>
    </xf>
    <xf numFmtId="0" fontId="7" fillId="29" borderId="59" xfId="0" applyFont="1" applyFill="1" applyBorder="1" applyAlignment="1" applyProtection="1">
      <alignment horizontal="right" vertical="center"/>
      <protection hidden="1"/>
    </xf>
    <xf numFmtId="0" fontId="8" fillId="29" borderId="58" xfId="0" applyFont="1" applyFill="1" applyBorder="1" applyAlignment="1" applyProtection="1">
      <alignment horizontal="center" vertical="center"/>
      <protection locked="0"/>
    </xf>
    <xf numFmtId="0" fontId="8" fillId="29" borderId="60" xfId="0" applyFont="1" applyFill="1" applyBorder="1" applyAlignment="1" applyProtection="1">
      <alignment horizontal="center" vertical="center"/>
      <protection locked="0"/>
    </xf>
    <xf numFmtId="0" fontId="7" fillId="29" borderId="61" xfId="0" applyFont="1" applyFill="1" applyBorder="1" applyAlignment="1" applyProtection="1">
      <alignment vertical="center"/>
    </xf>
    <xf numFmtId="0" fontId="41" fillId="29" borderId="68" xfId="0" applyFont="1" applyFill="1" applyBorder="1" applyAlignment="1" applyProtection="1">
      <alignment horizontal="left" vertical="center"/>
      <protection hidden="1"/>
    </xf>
    <xf numFmtId="0" fontId="41" fillId="29" borderId="69" xfId="0" applyFont="1" applyFill="1" applyBorder="1" applyAlignment="1" applyProtection="1">
      <alignment horizontal="left" vertical="center"/>
      <protection hidden="1"/>
    </xf>
    <xf numFmtId="0" fontId="41" fillId="29" borderId="70" xfId="0" applyFont="1" applyFill="1" applyBorder="1" applyAlignment="1" applyProtection="1">
      <alignment horizontal="left" vertical="center"/>
      <protection hidden="1"/>
    </xf>
    <xf numFmtId="0" fontId="19" fillId="29" borderId="73" xfId="0" applyFont="1" applyFill="1" applyBorder="1" applyAlignment="1" applyProtection="1">
      <alignment horizontal="left" vertical="center"/>
      <protection hidden="1"/>
    </xf>
    <xf numFmtId="0" fontId="19" fillId="29" borderId="0" xfId="0" applyFont="1" applyFill="1" applyBorder="1" applyAlignment="1" applyProtection="1">
      <alignment horizontal="left" vertical="center"/>
      <protection hidden="1"/>
    </xf>
    <xf numFmtId="0" fontId="19" fillId="29" borderId="10" xfId="0" applyFont="1" applyFill="1" applyBorder="1" applyAlignment="1" applyProtection="1">
      <alignment horizontal="left" vertical="center"/>
      <protection hidden="1"/>
    </xf>
    <xf numFmtId="0" fontId="19" fillId="29" borderId="75" xfId="0" applyFont="1" applyFill="1" applyBorder="1" applyAlignment="1" applyProtection="1">
      <alignment horizontal="left" vertical="center"/>
      <protection hidden="1"/>
    </xf>
    <xf numFmtId="0" fontId="19" fillId="29" borderId="76" xfId="0" applyFont="1" applyFill="1" applyBorder="1" applyAlignment="1" applyProtection="1">
      <alignment horizontal="left" vertical="center"/>
      <protection hidden="1"/>
    </xf>
    <xf numFmtId="0" fontId="19" fillId="29" borderId="77" xfId="0" applyFont="1" applyFill="1" applyBorder="1" applyAlignment="1" applyProtection="1">
      <alignment horizontal="left" vertical="center"/>
      <protection hidden="1"/>
    </xf>
    <xf numFmtId="14" fontId="54" fillId="29" borderId="49" xfId="0" quotePrefix="1" applyNumberFormat="1" applyFont="1" applyFill="1" applyBorder="1" applyAlignment="1" applyProtection="1">
      <alignment horizontal="center" vertical="center"/>
      <protection hidden="1"/>
    </xf>
    <xf numFmtId="14" fontId="54" fillId="29" borderId="52" xfId="0" quotePrefix="1" applyNumberFormat="1" applyFont="1" applyFill="1" applyBorder="1" applyAlignment="1" applyProtection="1">
      <alignment horizontal="center" vertical="center"/>
      <protection hidden="1"/>
    </xf>
    <xf numFmtId="14" fontId="53" fillId="29" borderId="49" xfId="0" quotePrefix="1" applyNumberFormat="1" applyFont="1" applyFill="1" applyBorder="1" applyAlignment="1" applyProtection="1">
      <alignment horizontal="center" vertical="center"/>
      <protection hidden="1"/>
    </xf>
    <xf numFmtId="14" fontId="53" fillId="29" borderId="55" xfId="0" applyNumberFormat="1" applyFont="1" applyFill="1" applyBorder="1" applyAlignment="1" applyProtection="1">
      <alignment horizontal="center" vertical="center"/>
      <protection hidden="1"/>
    </xf>
    <xf numFmtId="14" fontId="53" fillId="29" borderId="52" xfId="0" applyNumberFormat="1" applyFont="1" applyFill="1" applyBorder="1" applyAlignment="1" applyProtection="1">
      <alignment horizontal="center" vertical="center"/>
      <protection hidden="1"/>
    </xf>
    <xf numFmtId="14" fontId="47" fillId="20" borderId="27" xfId="0" applyNumberFormat="1" applyFont="1" applyFill="1" applyBorder="1" applyAlignment="1" applyProtection="1">
      <alignment horizontal="center" vertical="center" textRotation="2"/>
      <protection hidden="1"/>
    </xf>
    <xf numFmtId="14" fontId="47" fillId="20" borderId="33" xfId="0" applyNumberFormat="1" applyFont="1" applyFill="1" applyBorder="1" applyAlignment="1" applyProtection="1">
      <alignment horizontal="center" vertical="center" textRotation="2"/>
      <protection hidden="1"/>
    </xf>
    <xf numFmtId="14" fontId="47" fillId="20" borderId="35" xfId="0" applyNumberFormat="1" applyFont="1" applyFill="1" applyBorder="1" applyAlignment="1" applyProtection="1">
      <alignment horizontal="center" vertical="center" textRotation="2"/>
      <protection hidden="1"/>
    </xf>
    <xf numFmtId="0" fontId="50" fillId="28" borderId="0" xfId="0" applyFont="1" applyFill="1" applyBorder="1" applyAlignment="1" applyProtection="1">
      <alignment horizontal="center" wrapText="1"/>
      <protection hidden="1"/>
    </xf>
    <xf numFmtId="0" fontId="12" fillId="2" borderId="0" xfId="0" applyFont="1" applyFill="1" applyBorder="1" applyAlignment="1" applyProtection="1">
      <alignment horizontal="center"/>
      <protection hidden="1"/>
    </xf>
    <xf numFmtId="0" fontId="51" fillId="28" borderId="0" xfId="0" applyFont="1" applyFill="1" applyBorder="1" applyAlignment="1" applyProtection="1">
      <alignment horizontal="center" vertical="center"/>
      <protection hidden="1"/>
    </xf>
    <xf numFmtId="0" fontId="52" fillId="28" borderId="0" xfId="0" applyNumberFormat="1" applyFont="1" applyFill="1" applyBorder="1" applyAlignment="1" applyProtection="1">
      <alignment horizontal="center" vertical="center" wrapText="1"/>
      <protection hidden="1"/>
    </xf>
    <xf numFmtId="0" fontId="12" fillId="28" borderId="0" xfId="0" applyFont="1" applyFill="1" applyBorder="1" applyAlignment="1" applyProtection="1">
      <alignment horizontal="center"/>
      <protection hidden="1"/>
    </xf>
    <xf numFmtId="0" fontId="20" fillId="28" borderId="0" xfId="0" applyFont="1" applyFill="1" applyBorder="1" applyAlignment="1" applyProtection="1">
      <alignment horizontal="center" vertical="center"/>
      <protection locked="0" hidden="1"/>
    </xf>
    <xf numFmtId="0" fontId="15" fillId="27" borderId="88" xfId="0" applyFont="1" applyFill="1" applyBorder="1" applyAlignment="1" applyProtection="1">
      <alignment horizontal="center" vertical="center"/>
      <protection locked="0"/>
    </xf>
    <xf numFmtId="0" fontId="15" fillId="27" borderId="86" xfId="0" applyFont="1" applyFill="1" applyBorder="1" applyAlignment="1" applyProtection="1">
      <alignment horizontal="center" vertical="center"/>
      <protection locked="0"/>
    </xf>
    <xf numFmtId="0" fontId="15" fillId="27" borderId="89" xfId="0" applyFont="1" applyFill="1" applyBorder="1" applyAlignment="1" applyProtection="1">
      <alignment horizontal="center" vertical="center"/>
      <protection locked="0"/>
    </xf>
    <xf numFmtId="0" fontId="57" fillId="29" borderId="71" xfId="0" applyFont="1" applyFill="1" applyBorder="1" applyAlignment="1" applyProtection="1">
      <alignment horizontal="center" vertical="center"/>
    </xf>
    <xf numFmtId="0" fontId="57" fillId="29" borderId="69" xfId="0" applyFont="1" applyFill="1" applyBorder="1" applyAlignment="1" applyProtection="1">
      <alignment horizontal="center" vertical="center"/>
    </xf>
    <xf numFmtId="0" fontId="57" fillId="29" borderId="72" xfId="0" applyFont="1" applyFill="1" applyBorder="1" applyAlignment="1" applyProtection="1">
      <alignment horizontal="center" vertical="center"/>
    </xf>
    <xf numFmtId="0" fontId="20" fillId="29" borderId="15" xfId="0" applyFont="1" applyFill="1" applyBorder="1" applyAlignment="1" applyProtection="1">
      <alignment horizontal="center" vertical="center"/>
    </xf>
    <xf numFmtId="0" fontId="20" fillId="29" borderId="0" xfId="0" applyFont="1" applyFill="1" applyBorder="1" applyAlignment="1" applyProtection="1">
      <alignment horizontal="center" vertical="center"/>
    </xf>
    <xf numFmtId="0" fontId="20" fillId="29" borderId="74" xfId="0" applyFont="1" applyFill="1" applyBorder="1" applyAlignment="1" applyProtection="1">
      <alignment horizontal="center" vertical="center"/>
    </xf>
    <xf numFmtId="0" fontId="20" fillId="29" borderId="78" xfId="0" applyFont="1" applyFill="1" applyBorder="1" applyAlignment="1" applyProtection="1">
      <alignment horizontal="center" vertical="center"/>
    </xf>
    <xf numFmtId="0" fontId="20" fillId="29" borderId="76" xfId="0" applyFont="1" applyFill="1" applyBorder="1" applyAlignment="1" applyProtection="1">
      <alignment horizontal="center" vertical="center"/>
    </xf>
    <xf numFmtId="0" fontId="20" fillId="29" borderId="79" xfId="0" applyFont="1" applyFill="1" applyBorder="1" applyAlignment="1" applyProtection="1">
      <alignment horizontal="center" vertical="center"/>
    </xf>
    <xf numFmtId="0" fontId="20" fillId="29" borderId="15" xfId="0" applyFont="1" applyFill="1" applyBorder="1" applyAlignment="1" applyProtection="1">
      <alignment horizontal="center" vertical="center"/>
      <protection locked="0" hidden="1"/>
    </xf>
    <xf numFmtId="0" fontId="20" fillId="29" borderId="0" xfId="0" applyFont="1" applyFill="1" applyBorder="1" applyAlignment="1" applyProtection="1">
      <alignment horizontal="center" vertical="center"/>
      <protection locked="0" hidden="1"/>
    </xf>
    <xf numFmtId="0" fontId="20" fillId="29" borderId="74" xfId="0" applyFont="1" applyFill="1" applyBorder="1" applyAlignment="1" applyProtection="1">
      <alignment horizontal="center" vertical="center"/>
      <protection locked="0" hidden="1"/>
    </xf>
    <xf numFmtId="0" fontId="57" fillId="29" borderId="71" xfId="0" applyFont="1" applyFill="1" applyBorder="1" applyAlignment="1" applyProtection="1">
      <alignment horizontal="center" vertical="center"/>
      <protection locked="0" hidden="1"/>
    </xf>
    <xf numFmtId="0" fontId="57" fillId="29" borderId="69" xfId="0" applyFont="1" applyFill="1" applyBorder="1" applyAlignment="1" applyProtection="1">
      <alignment horizontal="center" vertical="center"/>
      <protection locked="0" hidden="1"/>
    </xf>
    <xf numFmtId="0" fontId="57" fillId="29" borderId="72" xfId="0" applyFont="1" applyFill="1" applyBorder="1" applyAlignment="1" applyProtection="1">
      <alignment horizontal="center" vertical="center"/>
      <protection locked="0" hidden="1"/>
    </xf>
    <xf numFmtId="0" fontId="20" fillId="29" borderId="78" xfId="0" applyFont="1" applyFill="1" applyBorder="1" applyAlignment="1" applyProtection="1">
      <alignment horizontal="center" vertical="center"/>
      <protection locked="0" hidden="1"/>
    </xf>
    <xf numFmtId="0" fontId="20" fillId="29" borderId="76" xfId="0" applyFont="1" applyFill="1" applyBorder="1" applyAlignment="1" applyProtection="1">
      <alignment horizontal="center" vertical="center"/>
      <protection locked="0" hidden="1"/>
    </xf>
    <xf numFmtId="0" fontId="20" fillId="29" borderId="79" xfId="0" applyFont="1" applyFill="1" applyBorder="1" applyAlignment="1" applyProtection="1">
      <alignment horizontal="center" vertical="center"/>
      <protection locked="0" hidden="1"/>
    </xf>
    <xf numFmtId="0" fontId="27" fillId="2" borderId="21" xfId="0" applyFont="1" applyFill="1" applyBorder="1" applyAlignment="1">
      <alignment horizontal="left"/>
    </xf>
    <xf numFmtId="0" fontId="27" fillId="2" borderId="20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7" fillId="2" borderId="25" xfId="0" applyFont="1" applyFill="1" applyBorder="1" applyAlignment="1">
      <alignment horizontal="left"/>
    </xf>
    <xf numFmtId="0" fontId="27" fillId="2" borderId="0" xfId="0" applyFont="1" applyFill="1" applyAlignment="1">
      <alignment horizontal="left"/>
    </xf>
    <xf numFmtId="0" fontId="27" fillId="2" borderId="0" xfId="0" applyFont="1" applyFill="1" applyAlignment="1">
      <alignment horizontal="center" vertical="center"/>
    </xf>
    <xf numFmtId="14" fontId="27" fillId="2" borderId="0" xfId="0" applyNumberFormat="1" applyFont="1" applyFill="1" applyAlignment="1">
      <alignment horizontal="center" vertical="center"/>
    </xf>
    <xf numFmtId="0" fontId="36" fillId="6" borderId="0" xfId="0" applyFont="1" applyFill="1" applyBorder="1" applyAlignment="1">
      <alignment horizontal="center" vertical="center" wrapText="1"/>
    </xf>
    <xf numFmtId="0" fontId="25" fillId="10" borderId="0" xfId="0" applyFont="1" applyFill="1" applyBorder="1" applyAlignment="1" applyProtection="1">
      <alignment horizontal="center" vertical="center" wrapText="1"/>
      <protection hidden="1"/>
    </xf>
    <xf numFmtId="0" fontId="36" fillId="9" borderId="0" xfId="0" applyFont="1" applyFill="1" applyBorder="1" applyAlignment="1" applyProtection="1">
      <alignment horizontal="center" vertical="center" wrapText="1"/>
      <protection hidden="1"/>
    </xf>
    <xf numFmtId="0" fontId="0" fillId="2" borderId="0" xfId="0" applyFont="1" applyFill="1" applyAlignment="1" applyProtection="1">
      <alignment horizontal="left" vertical="center" wrapText="1"/>
      <protection hidden="1"/>
    </xf>
  </cellXfs>
  <cellStyles count="90">
    <cellStyle name="Hipervínculo" xfId="25" builtinId="8" hidden="1"/>
    <cellStyle name="Hipervínculo" xfId="23" builtinId="8" hidden="1"/>
    <cellStyle name="Hipervínculo" xfId="9" builtinId="8" hidden="1"/>
    <cellStyle name="Hipervínculo" xfId="15" builtinId="8" hidden="1"/>
    <cellStyle name="Hipervínculo" xfId="19" builtinId="8" hidden="1"/>
    <cellStyle name="Hipervínculo" xfId="5" builtinId="8" hidden="1"/>
    <cellStyle name="Hipervínculo" xfId="17" builtinId="8" hidden="1"/>
    <cellStyle name="Hipervínculo" xfId="21" builtinId="8" hidden="1"/>
    <cellStyle name="Hipervínculo" xfId="13" builtinId="8" hidden="1"/>
    <cellStyle name="Hipervínculo" xfId="7" builtinId="8" hidden="1"/>
    <cellStyle name="Hipervínculo" xfId="11" builtinId="8" hidden="1"/>
    <cellStyle name="Hipervínculo" xfId="1" builtinId="8" hidden="1"/>
    <cellStyle name="Hipervínculo" xfId="3" builtinId="8" hidden="1"/>
    <cellStyle name="Hipervínculo" xfId="27" builtinId="8"/>
    <cellStyle name="Hipervínculo visitado" xfId="44" builtinId="9" hidden="1"/>
    <cellStyle name="Hipervínculo visitado" xfId="48" builtinId="9" hidden="1"/>
    <cellStyle name="Hipervínculo visitado" xfId="52" builtinId="9" hidden="1"/>
    <cellStyle name="Hipervínculo visitado" xfId="45" builtinId="9" hidden="1"/>
    <cellStyle name="Hipervínculo visitado" xfId="34" builtinId="9" hidden="1"/>
    <cellStyle name="Hipervínculo visitado" xfId="69" builtinId="9" hidden="1"/>
    <cellStyle name="Hipervínculo visitado" xfId="85" builtinId="9" hidden="1"/>
    <cellStyle name="Hipervínculo visitado" xfId="76" builtinId="9" hidden="1"/>
    <cellStyle name="Hipervínculo visitado" xfId="82" builtinId="9" hidden="1"/>
    <cellStyle name="Hipervínculo visitado" xfId="86" builtinId="9" hidden="1"/>
    <cellStyle name="Hipervínculo visitado" xfId="89" builtinId="9" hidden="1"/>
    <cellStyle name="Hipervínculo visitado" xfId="68" builtinId="9" hidden="1"/>
    <cellStyle name="Hipervínculo visitado" xfId="72" builtinId="9" hidden="1"/>
    <cellStyle name="Hipervínculo visitado" xfId="66" builtinId="9" hidden="1"/>
    <cellStyle name="Hipervínculo visitado" xfId="62" builtinId="9" hidden="1"/>
    <cellStyle name="Hipervínculo visitado" xfId="64" builtinId="9" hidden="1"/>
    <cellStyle name="Hipervínculo visitado" xfId="70" builtinId="9" hidden="1"/>
    <cellStyle name="Hipervínculo visitado" xfId="78" builtinId="9" hidden="1"/>
    <cellStyle name="Hipervínculo visitado" xfId="88" builtinId="9" hidden="1"/>
    <cellStyle name="Hipervínculo visitado" xfId="84" builtinId="9" hidden="1"/>
    <cellStyle name="Hipervínculo visitado" xfId="80" builtinId="9" hidden="1"/>
    <cellStyle name="Hipervínculo visitado" xfId="74" builtinId="9" hidden="1"/>
    <cellStyle name="Hipervínculo visitado" xfId="77" builtinId="9" hidden="1"/>
    <cellStyle name="Hipervínculo visitado" xfId="61" builtinId="9" hidden="1"/>
    <cellStyle name="Hipervínculo visitado" xfId="40" builtinId="9" hidden="1"/>
    <cellStyle name="Hipervínculo visitado" xfId="50" builtinId="9" hidden="1"/>
    <cellStyle name="Hipervínculo visitado" xfId="49" builtinId="9" hidden="1"/>
    <cellStyle name="Hipervínculo visitado" xfId="46" builtinId="9" hidden="1"/>
    <cellStyle name="Hipervínculo visitado" xfId="42" builtinId="9" hidden="1"/>
    <cellStyle name="Hipervínculo visitado" xfId="4" builtinId="9" hidden="1"/>
    <cellStyle name="Hipervínculo visitado" xfId="18" builtinId="9" hidden="1"/>
    <cellStyle name="Hipervínculo visitado" xfId="28" builtinId="9" hidden="1"/>
    <cellStyle name="Hipervínculo visitado" xfId="24" builtinId="9" hidden="1"/>
    <cellStyle name="Hipervínculo visitado" xfId="14" builtinId="9" hidden="1"/>
    <cellStyle name="Hipervínculo visitado" xfId="35" builtinId="9" hidden="1"/>
    <cellStyle name="Hipervínculo visitado" xfId="43" builtinId="9" hidden="1"/>
    <cellStyle name="Hipervínculo visitado" xfId="59" builtinId="9" hidden="1"/>
    <cellStyle name="Hipervínculo visitado" xfId="58" builtinId="9" hidden="1"/>
    <cellStyle name="Hipervínculo visitado" xfId="56" builtinId="9" hidden="1"/>
    <cellStyle name="Hipervínculo visitado" xfId="87" builtinId="9" hidden="1"/>
    <cellStyle name="Hipervínculo visitado" xfId="83" builtinId="9" hidden="1"/>
    <cellStyle name="Hipervínculo visitado" xfId="81" builtinId="9" hidden="1"/>
    <cellStyle name="Hipervínculo visitado" xfId="75" builtinId="9" hidden="1"/>
    <cellStyle name="Hipervínculo visitado" xfId="73" builtinId="9" hidden="1"/>
    <cellStyle name="Hipervínculo visitado" xfId="71" builtinId="9" hidden="1"/>
    <cellStyle name="Hipervínculo visitado" xfId="65" builtinId="9" hidden="1"/>
    <cellStyle name="Hipervínculo visitado" xfId="63" builtinId="9" hidden="1"/>
    <cellStyle name="Hipervínculo visitado" xfId="30" builtinId="9" hidden="1"/>
    <cellStyle name="Hipervínculo visitado" xfId="33" builtinId="9" hidden="1"/>
    <cellStyle name="Hipervínculo visitado" xfId="36" builtinId="9" hidden="1"/>
    <cellStyle name="Hipervínculo visitado" xfId="37" builtinId="9" hidden="1"/>
    <cellStyle name="Hipervínculo visitado" xfId="41" builtinId="9" hidden="1"/>
    <cellStyle name="Hipervínculo visitado" xfId="38" builtinId="9" hidden="1"/>
    <cellStyle name="Hipervínculo visitado" xfId="32" builtinId="9" hidden="1"/>
    <cellStyle name="Hipervínculo visitado" xfId="67" builtinId="9" hidden="1"/>
    <cellStyle name="Hipervínculo visitado" xfId="79" builtinId="9" hidden="1"/>
    <cellStyle name="Hipervínculo visitado" xfId="53" builtinId="9" hidden="1"/>
    <cellStyle name="Hipervínculo visitado" xfId="51" builtinId="9" hidden="1"/>
    <cellStyle name="Hipervínculo visitado" xfId="20" builtinId="9" hidden="1"/>
    <cellStyle name="Hipervínculo visitado" xfId="10" builtinId="9" hidden="1"/>
    <cellStyle name="Hipervínculo visitado" xfId="31" builtinId="9" hidden="1"/>
    <cellStyle name="Hipervínculo visitado" xfId="16" builtinId="9" hidden="1"/>
    <cellStyle name="Hipervínculo visitado" xfId="26" builtinId="9" hidden="1"/>
    <cellStyle name="Hipervínculo visitado" xfId="29" builtinId="9" hidden="1"/>
    <cellStyle name="Hipervínculo visitado" xfId="8" builtinId="9" hidden="1"/>
    <cellStyle name="Hipervínculo visitado" xfId="12" builtinId="9" hidden="1"/>
    <cellStyle name="Hipervínculo visitado" xfId="6" builtinId="9" hidden="1"/>
    <cellStyle name="Hipervínculo visitado" xfId="2" builtinId="9" hidden="1"/>
    <cellStyle name="Hipervínculo visitado" xfId="22" builtinId="9" hidden="1"/>
    <cellStyle name="Hipervínculo visitado" xfId="55" builtinId="9" hidden="1"/>
    <cellStyle name="Hipervínculo visitado" xfId="47" builtinId="9" hidden="1"/>
    <cellStyle name="Hipervínculo visitado" xfId="39" builtinId="9" hidden="1"/>
    <cellStyle name="Hipervínculo visitado" xfId="57" builtinId="9" hidden="1"/>
    <cellStyle name="Hipervínculo visitado" xfId="60" builtinId="9" hidden="1"/>
    <cellStyle name="Hipervínculo visitado" xfId="54" builtinId="9" hidden="1"/>
    <cellStyle name="Normal" xfId="0" builtinId="0"/>
  </cellStyles>
  <dxfs count="1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4" tint="0.79998168889431442"/>
          <bgColor theme="0"/>
        </patternFill>
      </fill>
      <alignment horizontal="left" vertical="bottom" textRotation="0" wrapText="0" indent="1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4" tint="0.79998168889431442"/>
          <bgColor theme="0"/>
        </patternFill>
      </fill>
      <alignment horizontal="left" vertical="bottom" textRotation="0" wrapText="0" indent="1" justifyLastLine="0" shrinkToFit="0" readingOrder="0"/>
      <border diagonalUp="0" diagonalDown="0" outline="0">
        <left/>
        <right/>
        <top style="thin">
          <color theme="0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bottom" textRotation="0" wrapText="0" indent="1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0" formatCode="General"/>
      <fill>
        <patternFill patternType="solid">
          <fgColor theme="4" tint="0.79998168889431442"/>
          <bgColor theme="0"/>
        </patternFill>
      </fill>
      <alignment horizontal="left" vertical="bottom" textRotation="0" wrapText="0" indent="1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4" tint="0.79998168889431442"/>
          <bgColor theme="0"/>
        </patternFill>
      </fill>
      <alignment horizontal="left" vertical="bottom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4"/>
          <bgColor theme="0"/>
        </patternFill>
      </fill>
      <alignment horizontal="left" vertical="bottom" textRotation="0" wrapText="0" indent="1" justifyLastLine="0" shrinkToFit="0" readingOrder="0"/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D9D9D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B05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scheme val="minor"/>
      </font>
      <numFmt numFmtId="3" formatCode="#,##0"/>
      <fill>
        <patternFill patternType="none">
          <fgColor indexed="64"/>
          <bgColor theme="0"/>
        </patternFill>
      </fill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Calibri"/>
        <scheme val="minor"/>
      </font>
      <fill>
        <patternFill patternType="none">
          <fgColor indexed="64"/>
          <bgColor theme="0"/>
        </patternFill>
      </fill>
      <protection locked="1" hidden="1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color theme="0"/>
        <name val="Calibri"/>
        <scheme val="minor"/>
      </font>
      <fill>
        <patternFill patternType="none">
          <fgColor indexed="64"/>
          <bgColor theme="0"/>
        </patternFill>
      </fill>
      <protection locked="1" hidden="1"/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color theme="0"/>
        <name val="Calibri"/>
        <scheme val="minor"/>
      </font>
      <fill>
        <patternFill patternType="none">
          <fgColor indexed="64"/>
          <bgColor theme="0"/>
        </patternFill>
      </fill>
      <protection locked="1" hidden="1"/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>
          <bgColor rgb="FF00B3C9"/>
        </patternFill>
      </fill>
    </dxf>
    <dxf>
      <font>
        <b val="0"/>
        <i val="0"/>
        <color theme="0"/>
      </font>
      <fill>
        <patternFill>
          <bgColor rgb="FF00B3C9"/>
        </patternFill>
      </fill>
      <border>
        <vertical/>
        <horizontal/>
      </border>
    </dxf>
    <dxf>
      <font>
        <b val="0"/>
        <i val="0"/>
        <color theme="0"/>
      </font>
      <fill>
        <patternFill>
          <bgColor rgb="FF00B3C9"/>
        </patternFill>
      </fill>
      <border>
        <vertical/>
        <horizontal/>
      </border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>
          <bgColor rgb="FF00B3C9"/>
        </patternFill>
      </fill>
    </dxf>
    <dxf>
      <font>
        <b val="0"/>
        <i val="0"/>
        <color theme="0"/>
      </font>
      <fill>
        <patternFill>
          <bgColor rgb="FF00B3C9"/>
        </patternFill>
      </fill>
      <border>
        <vertical/>
        <horizontal/>
      </border>
    </dxf>
    <dxf>
      <font>
        <b val="0"/>
        <i val="0"/>
        <color theme="0"/>
      </font>
      <fill>
        <patternFill>
          <bgColor rgb="FF00B3C9"/>
        </patternFill>
      </fill>
      <border>
        <vertical/>
        <horizontal/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ont>
        <color theme="0"/>
      </font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</border>
    </dxf>
    <dxf>
      <font>
        <color theme="0"/>
      </font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</border>
    </dxf>
    <dxf>
      <fill>
        <patternFill>
          <bgColor rgb="FFC4D79B"/>
        </patternFill>
      </fill>
    </dxf>
    <dxf>
      <fill>
        <patternFill>
          <bgColor rgb="FFC4D79B"/>
        </patternFill>
      </fill>
    </dxf>
    <dxf>
      <font>
        <color theme="0"/>
      </font>
      <fill>
        <patternFill>
          <bgColor rgb="FF7E368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</border>
    </dxf>
    <dxf>
      <font>
        <color theme="0"/>
      </font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theme="0"/>
      </font>
      <fill>
        <patternFill patternType="solid">
          <fgColor indexed="64"/>
          <bgColor rgb="FF913D92"/>
        </patternFill>
      </fill>
    </dxf>
    <dxf>
      <font>
        <b val="0"/>
        <i val="0"/>
        <color theme="0"/>
      </font>
      <fill>
        <patternFill patternType="solid">
          <fgColor indexed="64"/>
          <bgColor rgb="FF913D92"/>
        </patternFill>
      </fill>
    </dxf>
    <dxf>
      <font>
        <b val="0"/>
        <i val="0"/>
        <color theme="0"/>
      </font>
      <fill>
        <patternFill patternType="solid">
          <fgColor indexed="64"/>
          <bgColor rgb="FF913D92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 patternType="solid">
          <fgColor indexed="64"/>
          <bgColor rgb="FF00B3C9"/>
        </patternFill>
      </fill>
    </dxf>
    <dxf>
      <font>
        <b val="0"/>
        <i val="0"/>
        <color theme="0"/>
      </font>
      <fill>
        <patternFill>
          <bgColor rgb="FF00B3C9"/>
        </patternFill>
      </fill>
    </dxf>
    <dxf>
      <font>
        <b val="0"/>
        <i val="0"/>
        <color theme="0"/>
      </font>
      <fill>
        <patternFill>
          <bgColor rgb="FF00B3C9"/>
        </patternFill>
      </fill>
      <border>
        <vertical/>
        <horizontal/>
      </border>
    </dxf>
    <dxf>
      <font>
        <b val="0"/>
        <i val="0"/>
        <color theme="0"/>
      </font>
      <fill>
        <patternFill>
          <bgColor rgb="FF00B3C9"/>
        </patternFill>
      </fill>
      <border>
        <vertical/>
        <horizontal/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rgb="FF0098A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rgb="FFFFA80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ont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rgb="FF01953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ont>
        <color theme="0"/>
      </font>
      <fill>
        <patternFill patternType="solid">
          <fgColor indexed="64"/>
          <bgColor rgb="FFCECECE"/>
        </patternFill>
      </fill>
      <border>
        <left style="thin">
          <color theme="0"/>
        </left>
        <right style="thin">
          <color theme="0"/>
        </right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bottom style="thin">
          <color theme="0"/>
        </bottom>
      </border>
    </dxf>
    <dxf>
      <fill>
        <patternFill>
          <bgColor theme="0" tint="-0.1499679555650502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</border>
    </dxf>
  </dxfs>
  <tableStyles count="0" defaultTableStyle="TableStyleMedium9" defaultPivotStyle="PivotStyleLight16"/>
  <colors>
    <mruColors>
      <color rgb="FFA50004"/>
      <color rgb="FFBF162B"/>
      <color rgb="FFF6A302"/>
      <color rgb="FFFFA800"/>
      <color rgb="FF913D92"/>
      <color rgb="FFFEC236"/>
      <color rgb="FF00B3C9"/>
      <color rgb="FF00A439"/>
      <color rgb="FFFFBE56"/>
      <color rgb="FFE29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externalLink" Target="externalLinks/externalLink1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hyperlink" Target="#'COPA AMERICA'!G1"/></Relationships>
</file>

<file path=xl/drawings/_rels/drawing2.xml.rels><?xml version="1.0" encoding="UTF-8" standalone="yes"?>
<Relationships xmlns="http://schemas.openxmlformats.org/package/2006/relationships"><Relationship Id="rId11" Type="http://schemas.openxmlformats.org/officeDocument/2006/relationships/image" Target="../media/image12.png"/><Relationship Id="rId12" Type="http://schemas.openxmlformats.org/officeDocument/2006/relationships/image" Target="../media/image13.png"/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4.png"/><Relationship Id="rId4" Type="http://schemas.openxmlformats.org/officeDocument/2006/relationships/image" Target="../media/image5.png"/><Relationship Id="rId5" Type="http://schemas.openxmlformats.org/officeDocument/2006/relationships/image" Target="../media/image6.png"/><Relationship Id="rId6" Type="http://schemas.openxmlformats.org/officeDocument/2006/relationships/image" Target="../media/image7.png"/><Relationship Id="rId7" Type="http://schemas.openxmlformats.org/officeDocument/2006/relationships/image" Target="../media/image8.png"/><Relationship Id="rId8" Type="http://schemas.openxmlformats.org/officeDocument/2006/relationships/image" Target="../media/image9.png"/><Relationship Id="rId9" Type="http://schemas.openxmlformats.org/officeDocument/2006/relationships/image" Target="../media/image10.png"/><Relationship Id="rId10" Type="http://schemas.openxmlformats.org/officeDocument/2006/relationships/image" Target="../media/image1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hyperlink" Target="https://www.linkedin.com/in/matejero" TargetMode="External"/></Relationships>
</file>

<file path=xl/drawings/_rels/drawing4.xml.rels><?xml version="1.0" encoding="UTF-8" standalone="yes"?>
<Relationships xmlns="http://schemas.openxmlformats.org/package/2006/relationships"><Relationship Id="rId11" Type="http://schemas.openxmlformats.org/officeDocument/2006/relationships/image" Target="../media/image11.png"/><Relationship Id="rId12" Type="http://schemas.openxmlformats.org/officeDocument/2006/relationships/image" Target="../media/image8.png"/><Relationship Id="rId1" Type="http://schemas.openxmlformats.org/officeDocument/2006/relationships/image" Target="../media/image2.png"/><Relationship Id="rId2" Type="http://schemas.openxmlformats.org/officeDocument/2006/relationships/image" Target="../media/image4.png"/><Relationship Id="rId3" Type="http://schemas.openxmlformats.org/officeDocument/2006/relationships/image" Target="../media/image10.png"/><Relationship Id="rId4" Type="http://schemas.openxmlformats.org/officeDocument/2006/relationships/image" Target="../media/image5.png"/><Relationship Id="rId5" Type="http://schemas.openxmlformats.org/officeDocument/2006/relationships/image" Target="../media/image3.png"/><Relationship Id="rId6" Type="http://schemas.openxmlformats.org/officeDocument/2006/relationships/image" Target="../media/image9.png"/><Relationship Id="rId7" Type="http://schemas.openxmlformats.org/officeDocument/2006/relationships/image" Target="../media/image7.png"/><Relationship Id="rId8" Type="http://schemas.openxmlformats.org/officeDocument/2006/relationships/image" Target="../media/image6.png"/><Relationship Id="rId9" Type="http://schemas.openxmlformats.org/officeDocument/2006/relationships/image" Target="../media/image13.png"/><Relationship Id="rId10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0</xdr:row>
      <xdr:rowOff>6317</xdr:rowOff>
    </xdr:from>
    <xdr:to>
      <xdr:col>4</xdr:col>
      <xdr:colOff>842337</xdr:colOff>
      <xdr:row>19</xdr:row>
      <xdr:rowOff>47175</xdr:rowOff>
    </xdr:to>
    <xdr:pic>
      <xdr:nvPicPr>
        <xdr:cNvPr id="20" name="Imagen 19" descr="http://www.conmebol.com/sites/default/files/ca-2019-logo-750px.jpg">
          <a:extLst>
            <a:ext uri="{FF2B5EF4-FFF2-40B4-BE49-F238E27FC236}">
              <a16:creationId xmlns:a16="http://schemas.microsoft.com/office/drawing/2014/main" xmlns="" id="{2979E295-2BB7-2D40-9390-34346F948C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33" t="14227" r="27600" b="15463"/>
        <a:stretch/>
      </xdr:blipFill>
      <xdr:spPr bwMode="auto">
        <a:xfrm>
          <a:off x="657225" y="6317"/>
          <a:ext cx="3080712" cy="3660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409575</xdr:colOff>
      <xdr:row>4</xdr:row>
      <xdr:rowOff>41276</xdr:rowOff>
    </xdr:from>
    <xdr:to>
      <xdr:col>8</xdr:col>
      <xdr:colOff>180975</xdr:colOff>
      <xdr:row>5</xdr:row>
      <xdr:rowOff>168276</xdr:rowOff>
    </xdr:to>
    <xdr:sp macro="" textlink="">
      <xdr:nvSpPr>
        <xdr:cNvPr id="4" name="Rectángulo redondeado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FF999FD2-9217-4020-8A98-38141898F163}"/>
            </a:ext>
          </a:extLst>
        </xdr:cNvPr>
        <xdr:cNvSpPr/>
      </xdr:nvSpPr>
      <xdr:spPr>
        <a:xfrm>
          <a:off x="4029075" y="803276"/>
          <a:ext cx="1943100" cy="317500"/>
        </a:xfrm>
        <a:prstGeom prst="roundRect">
          <a:avLst/>
        </a:prstGeom>
        <a:solidFill>
          <a:srgbClr val="009B3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1" baseline="0">
              <a:solidFill>
                <a:schemeClr val="bg1"/>
              </a:solidFill>
            </a:rPr>
            <a:t>Introducir Resultados</a:t>
          </a:r>
          <a:endParaRPr lang="es-ES" sz="1200" b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b="0">
            <a:solidFill>
              <a:schemeClr val="bg1"/>
            </a:solidFill>
            <a:effectLst/>
          </a:endParaRPr>
        </a:p>
        <a:p>
          <a:pPr algn="ctr"/>
          <a:r>
            <a:rPr lang="es-ES" sz="1100" b="1" baseline="0">
              <a:solidFill>
                <a:schemeClr val="bg1"/>
              </a:solidFill>
            </a:rPr>
            <a:t> </a:t>
          </a:r>
          <a:endParaRPr lang="es-ES" sz="11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28578</xdr:colOff>
      <xdr:row>3</xdr:row>
      <xdr:rowOff>19052</xdr:rowOff>
    </xdr:from>
    <xdr:to>
      <xdr:col>9</xdr:col>
      <xdr:colOff>244578</xdr:colOff>
      <xdr:row>3</xdr:row>
      <xdr:rowOff>170252</xdr:rowOff>
    </xdr:to>
    <xdr:pic>
      <xdr:nvPicPr>
        <xdr:cNvPr id="41" name="Imagen 40" descr="Bandera de Brasil">
          <a:extLst>
            <a:ext uri="{FF2B5EF4-FFF2-40B4-BE49-F238E27FC236}">
              <a16:creationId xmlns:a16="http://schemas.microsoft.com/office/drawing/2014/main" xmlns="" id="{4E70588B-A71A-431A-8D8F-45918539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800353" y="771527"/>
          <a:ext cx="216000" cy="151200"/>
        </a:xfrm>
        <a:prstGeom prst="rect">
          <a:avLst/>
        </a:prstGeom>
        <a:noFill/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26886</xdr:colOff>
      <xdr:row>5</xdr:row>
      <xdr:rowOff>25011</xdr:rowOff>
    </xdr:from>
    <xdr:to>
      <xdr:col>9</xdr:col>
      <xdr:colOff>242886</xdr:colOff>
      <xdr:row>5</xdr:row>
      <xdr:rowOff>176211</xdr:rowOff>
    </xdr:to>
    <xdr:pic>
      <xdr:nvPicPr>
        <xdr:cNvPr id="42" name="Imagen 41" descr="Bandera de Brasil">
          <a:extLst>
            <a:ext uri="{FF2B5EF4-FFF2-40B4-BE49-F238E27FC236}">
              <a16:creationId xmlns:a16="http://schemas.microsoft.com/office/drawing/2014/main" xmlns="" id="{9CEFA31C-3B9A-48E1-985D-2CA127CC2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8661" y="1168011"/>
          <a:ext cx="216000" cy="151200"/>
        </a:xfrm>
        <a:prstGeom prst="rect">
          <a:avLst/>
        </a:prstGeom>
        <a:noFill/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25402</xdr:colOff>
      <xdr:row>7</xdr:row>
      <xdr:rowOff>20248</xdr:rowOff>
    </xdr:from>
    <xdr:to>
      <xdr:col>12</xdr:col>
      <xdr:colOff>241402</xdr:colOff>
      <xdr:row>7</xdr:row>
      <xdr:rowOff>171448</xdr:rowOff>
    </xdr:to>
    <xdr:pic>
      <xdr:nvPicPr>
        <xdr:cNvPr id="43" name="Imagen 42" descr="Bandera de Brasil">
          <a:extLst>
            <a:ext uri="{FF2B5EF4-FFF2-40B4-BE49-F238E27FC236}">
              <a16:creationId xmlns:a16="http://schemas.microsoft.com/office/drawing/2014/main" xmlns="" id="{25142062-0004-48D7-BF1E-09C647F2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305302" y="1556948"/>
          <a:ext cx="216000" cy="151200"/>
        </a:xfrm>
        <a:prstGeom prst="rect">
          <a:avLst/>
        </a:prstGeom>
        <a:noFill/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26886</xdr:colOff>
      <xdr:row>11</xdr:row>
      <xdr:rowOff>15485</xdr:rowOff>
    </xdr:from>
    <xdr:to>
      <xdr:col>9</xdr:col>
      <xdr:colOff>242886</xdr:colOff>
      <xdr:row>11</xdr:row>
      <xdr:rowOff>166685</xdr:rowOff>
    </xdr:to>
    <xdr:pic>
      <xdr:nvPicPr>
        <xdr:cNvPr id="44" name="Imagen 43" descr="Bandera de Argentina">
          <a:extLst>
            <a:ext uri="{FF2B5EF4-FFF2-40B4-BE49-F238E27FC236}">
              <a16:creationId xmlns:a16="http://schemas.microsoft.com/office/drawing/2014/main" xmlns="" id="{73C89303-E00E-4FB1-9C33-3D08253E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8661" y="233006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26886</xdr:colOff>
      <xdr:row>13</xdr:row>
      <xdr:rowOff>19052</xdr:rowOff>
    </xdr:from>
    <xdr:to>
      <xdr:col>9</xdr:col>
      <xdr:colOff>242886</xdr:colOff>
      <xdr:row>13</xdr:row>
      <xdr:rowOff>170252</xdr:rowOff>
    </xdr:to>
    <xdr:pic>
      <xdr:nvPicPr>
        <xdr:cNvPr id="45" name="Imagen 44" descr="Bandera de Argentina">
          <a:extLst>
            <a:ext uri="{FF2B5EF4-FFF2-40B4-BE49-F238E27FC236}">
              <a16:creationId xmlns:a16="http://schemas.microsoft.com/office/drawing/2014/main" xmlns="" id="{16FFB469-7B78-4722-85FA-FBAC94D7C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8661" y="2724152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26886</xdr:colOff>
      <xdr:row>15</xdr:row>
      <xdr:rowOff>25012</xdr:rowOff>
    </xdr:from>
    <xdr:to>
      <xdr:col>12</xdr:col>
      <xdr:colOff>242886</xdr:colOff>
      <xdr:row>15</xdr:row>
      <xdr:rowOff>176212</xdr:rowOff>
    </xdr:to>
    <xdr:pic>
      <xdr:nvPicPr>
        <xdr:cNvPr id="46" name="Imagen 45" descr="Bandera de Argentina">
          <a:extLst>
            <a:ext uri="{FF2B5EF4-FFF2-40B4-BE49-F238E27FC236}">
              <a16:creationId xmlns:a16="http://schemas.microsoft.com/office/drawing/2014/main" xmlns="" id="{0D93D9F1-E9F4-496F-AA4E-8ABCB7659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786" y="3123812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22123</xdr:colOff>
      <xdr:row>19</xdr:row>
      <xdr:rowOff>14289</xdr:rowOff>
    </xdr:from>
    <xdr:to>
      <xdr:col>9</xdr:col>
      <xdr:colOff>238123</xdr:colOff>
      <xdr:row>19</xdr:row>
      <xdr:rowOff>165489</xdr:rowOff>
    </xdr:to>
    <xdr:pic>
      <xdr:nvPicPr>
        <xdr:cNvPr id="47" name="Imagen 46" descr="Bandera de Uruguay">
          <a:extLst>
            <a:ext uri="{FF2B5EF4-FFF2-40B4-BE49-F238E27FC236}">
              <a16:creationId xmlns:a16="http://schemas.microsoft.com/office/drawing/2014/main" xmlns="" id="{D2AE09F5-D51C-4BB3-9E9B-DDE37A537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3898" y="3881439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22122</xdr:colOff>
      <xdr:row>21</xdr:row>
      <xdr:rowOff>19052</xdr:rowOff>
    </xdr:from>
    <xdr:to>
      <xdr:col>9</xdr:col>
      <xdr:colOff>238122</xdr:colOff>
      <xdr:row>21</xdr:row>
      <xdr:rowOff>170252</xdr:rowOff>
    </xdr:to>
    <xdr:pic>
      <xdr:nvPicPr>
        <xdr:cNvPr id="48" name="Imagen 47" descr="Bandera de Uruguay">
          <a:extLst>
            <a:ext uri="{FF2B5EF4-FFF2-40B4-BE49-F238E27FC236}">
              <a16:creationId xmlns:a16="http://schemas.microsoft.com/office/drawing/2014/main" xmlns="" id="{0A39BDF7-4B0E-46CE-BF5F-24EABF05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3897" y="4276727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22123</xdr:colOff>
      <xdr:row>23</xdr:row>
      <xdr:rowOff>25012</xdr:rowOff>
    </xdr:from>
    <xdr:to>
      <xdr:col>12</xdr:col>
      <xdr:colOff>238123</xdr:colOff>
      <xdr:row>23</xdr:row>
      <xdr:rowOff>176212</xdr:rowOff>
    </xdr:to>
    <xdr:pic>
      <xdr:nvPicPr>
        <xdr:cNvPr id="49" name="Imagen 48" descr="Bandera de Uruguay">
          <a:extLst>
            <a:ext uri="{FF2B5EF4-FFF2-40B4-BE49-F238E27FC236}">
              <a16:creationId xmlns:a16="http://schemas.microsoft.com/office/drawing/2014/main" xmlns="" id="{9D999833-9297-44B3-B978-7F6534FB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755923" y="4663687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26989</xdr:colOff>
      <xdr:row>4</xdr:row>
      <xdr:rowOff>25010</xdr:rowOff>
    </xdr:from>
    <xdr:to>
      <xdr:col>12</xdr:col>
      <xdr:colOff>242989</xdr:colOff>
      <xdr:row>4</xdr:row>
      <xdr:rowOff>176210</xdr:rowOff>
    </xdr:to>
    <xdr:pic>
      <xdr:nvPicPr>
        <xdr:cNvPr id="50" name="Imagen 49" descr="Bandera de PerÃº">
          <a:extLst>
            <a:ext uri="{FF2B5EF4-FFF2-40B4-BE49-F238E27FC236}">
              <a16:creationId xmlns:a16="http://schemas.microsoft.com/office/drawing/2014/main" xmlns="" id="{820BA1CB-1365-488F-9899-4F0450B5B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306889" y="97751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23815</xdr:colOff>
      <xdr:row>11</xdr:row>
      <xdr:rowOff>14289</xdr:rowOff>
    </xdr:from>
    <xdr:to>
      <xdr:col>12</xdr:col>
      <xdr:colOff>239815</xdr:colOff>
      <xdr:row>11</xdr:row>
      <xdr:rowOff>165489</xdr:rowOff>
    </xdr:to>
    <xdr:pic>
      <xdr:nvPicPr>
        <xdr:cNvPr id="51" name="Imagen 50" descr="Bandera de Colombia">
          <a:extLst>
            <a:ext uri="{FF2B5EF4-FFF2-40B4-BE49-F238E27FC236}">
              <a16:creationId xmlns:a16="http://schemas.microsoft.com/office/drawing/2014/main" xmlns="" id="{384E2797-8ACC-4F32-A527-2A598897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7615" y="2328864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19052</xdr:colOff>
      <xdr:row>20</xdr:row>
      <xdr:rowOff>23815</xdr:rowOff>
    </xdr:from>
    <xdr:to>
      <xdr:col>12</xdr:col>
      <xdr:colOff>235052</xdr:colOff>
      <xdr:row>20</xdr:row>
      <xdr:rowOff>175015</xdr:rowOff>
    </xdr:to>
    <xdr:pic>
      <xdr:nvPicPr>
        <xdr:cNvPr id="52" name="Imagen 51" descr="Bandera de Chile">
          <a:extLst>
            <a:ext uri="{FF2B5EF4-FFF2-40B4-BE49-F238E27FC236}">
              <a16:creationId xmlns:a16="http://schemas.microsoft.com/office/drawing/2014/main" xmlns="" id="{A0FA9820-6041-4ABB-BFBF-731626CDCD3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2" y="408146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19052</xdr:colOff>
      <xdr:row>20</xdr:row>
      <xdr:rowOff>23815</xdr:rowOff>
    </xdr:from>
    <xdr:to>
      <xdr:col>9</xdr:col>
      <xdr:colOff>235052</xdr:colOff>
      <xdr:row>20</xdr:row>
      <xdr:rowOff>175015</xdr:rowOff>
    </xdr:to>
    <xdr:pic>
      <xdr:nvPicPr>
        <xdr:cNvPr id="53" name="Imagen 52" descr="Bandera de JapÃ³n">
          <a:extLst>
            <a:ext uri="{FF2B5EF4-FFF2-40B4-BE49-F238E27FC236}">
              <a16:creationId xmlns:a16="http://schemas.microsoft.com/office/drawing/2014/main" xmlns="" id="{AD4F0F55-44BF-410B-8A53-48EC6CDAF2B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7" y="408146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17465</xdr:colOff>
      <xdr:row>21</xdr:row>
      <xdr:rowOff>25011</xdr:rowOff>
    </xdr:from>
    <xdr:to>
      <xdr:col>12</xdr:col>
      <xdr:colOff>233465</xdr:colOff>
      <xdr:row>21</xdr:row>
      <xdr:rowOff>176211</xdr:rowOff>
    </xdr:to>
    <xdr:pic>
      <xdr:nvPicPr>
        <xdr:cNvPr id="54" name="Imagen 53" descr="Bandera de JapÃ³n">
          <a:extLst>
            <a:ext uri="{FF2B5EF4-FFF2-40B4-BE49-F238E27FC236}">
              <a16:creationId xmlns:a16="http://schemas.microsoft.com/office/drawing/2014/main" xmlns="" id="{0E93B02E-D1A0-4E3A-81C2-D33C06CFAEE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7365" y="4304911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25402</xdr:colOff>
      <xdr:row>3</xdr:row>
      <xdr:rowOff>19052</xdr:rowOff>
    </xdr:from>
    <xdr:to>
      <xdr:col>12</xdr:col>
      <xdr:colOff>241402</xdr:colOff>
      <xdr:row>3</xdr:row>
      <xdr:rowOff>170252</xdr:rowOff>
    </xdr:to>
    <xdr:pic>
      <xdr:nvPicPr>
        <xdr:cNvPr id="55" name="Imagen 54" descr="Bandera de Bolivia">
          <a:extLst>
            <a:ext uri="{FF2B5EF4-FFF2-40B4-BE49-F238E27FC236}">
              <a16:creationId xmlns:a16="http://schemas.microsoft.com/office/drawing/2014/main" xmlns="" id="{DF81E52B-AACB-4224-A24E-4B47AEFC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2" y="781052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26885</xdr:colOff>
      <xdr:row>6</xdr:row>
      <xdr:rowOff>29774</xdr:rowOff>
    </xdr:from>
    <xdr:to>
      <xdr:col>9</xdr:col>
      <xdr:colOff>242885</xdr:colOff>
      <xdr:row>7</xdr:row>
      <xdr:rowOff>3174</xdr:rowOff>
    </xdr:to>
    <xdr:pic>
      <xdr:nvPicPr>
        <xdr:cNvPr id="56" name="Imagen 55" descr="Bandera de Bolivia">
          <a:extLst>
            <a:ext uri="{FF2B5EF4-FFF2-40B4-BE49-F238E27FC236}">
              <a16:creationId xmlns:a16="http://schemas.microsoft.com/office/drawing/2014/main" xmlns="" id="{ABE31B4A-7CB3-41E0-8E17-838F20559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8660" y="1363274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22226</xdr:colOff>
      <xdr:row>8</xdr:row>
      <xdr:rowOff>25010</xdr:rowOff>
    </xdr:from>
    <xdr:to>
      <xdr:col>9</xdr:col>
      <xdr:colOff>238226</xdr:colOff>
      <xdr:row>8</xdr:row>
      <xdr:rowOff>176210</xdr:rowOff>
    </xdr:to>
    <xdr:pic>
      <xdr:nvPicPr>
        <xdr:cNvPr id="57" name="Imagen 56" descr="Bandera de Bolivia">
          <a:extLst>
            <a:ext uri="{FF2B5EF4-FFF2-40B4-BE49-F238E27FC236}">
              <a16:creationId xmlns:a16="http://schemas.microsoft.com/office/drawing/2014/main" xmlns="" id="{0B38ECDD-DE3C-47B1-B718-64897AFE1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7226" y="175221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25402</xdr:colOff>
      <xdr:row>6</xdr:row>
      <xdr:rowOff>14289</xdr:rowOff>
    </xdr:from>
    <xdr:to>
      <xdr:col>12</xdr:col>
      <xdr:colOff>241402</xdr:colOff>
      <xdr:row>6</xdr:row>
      <xdr:rowOff>165489</xdr:rowOff>
    </xdr:to>
    <xdr:pic>
      <xdr:nvPicPr>
        <xdr:cNvPr id="58" name="Imagen 57" descr="Bandera de PerÃº">
          <a:extLst>
            <a:ext uri="{FF2B5EF4-FFF2-40B4-BE49-F238E27FC236}">
              <a16:creationId xmlns:a16="http://schemas.microsoft.com/office/drawing/2014/main" xmlns="" id="{AB14396C-3B04-4D0B-A448-24E4EBDF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305302" y="1360489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26884</xdr:colOff>
      <xdr:row>7</xdr:row>
      <xdr:rowOff>20248</xdr:rowOff>
    </xdr:from>
    <xdr:to>
      <xdr:col>9</xdr:col>
      <xdr:colOff>242884</xdr:colOff>
      <xdr:row>7</xdr:row>
      <xdr:rowOff>171448</xdr:rowOff>
    </xdr:to>
    <xdr:pic>
      <xdr:nvPicPr>
        <xdr:cNvPr id="59" name="Imagen 58" descr="Bandera de PerÃº">
          <a:extLst>
            <a:ext uri="{FF2B5EF4-FFF2-40B4-BE49-F238E27FC236}">
              <a16:creationId xmlns:a16="http://schemas.microsoft.com/office/drawing/2014/main" xmlns="" id="{436C267C-A8AD-4278-8864-904EF0C8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8659" y="1544248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33236</xdr:colOff>
      <xdr:row>4</xdr:row>
      <xdr:rowOff>23815</xdr:rowOff>
    </xdr:from>
    <xdr:to>
      <xdr:col>9</xdr:col>
      <xdr:colOff>249236</xdr:colOff>
      <xdr:row>4</xdr:row>
      <xdr:rowOff>175015</xdr:rowOff>
    </xdr:to>
    <xdr:pic>
      <xdr:nvPicPr>
        <xdr:cNvPr id="60" name="Imagen 59" descr="Bandera de Venezuela">
          <a:extLst>
            <a:ext uri="{FF2B5EF4-FFF2-40B4-BE49-F238E27FC236}">
              <a16:creationId xmlns:a16="http://schemas.microsoft.com/office/drawing/2014/main" xmlns="" id="{D0CF18AD-AD1F-4BD3-8BD4-A5615F1C8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208236" y="97631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25401</xdr:colOff>
      <xdr:row>5</xdr:row>
      <xdr:rowOff>14289</xdr:rowOff>
    </xdr:from>
    <xdr:to>
      <xdr:col>12</xdr:col>
      <xdr:colOff>241401</xdr:colOff>
      <xdr:row>5</xdr:row>
      <xdr:rowOff>165489</xdr:rowOff>
    </xdr:to>
    <xdr:pic>
      <xdr:nvPicPr>
        <xdr:cNvPr id="61" name="Imagen 60" descr="Bandera de Venezuela">
          <a:extLst>
            <a:ext uri="{FF2B5EF4-FFF2-40B4-BE49-F238E27FC236}">
              <a16:creationId xmlns:a16="http://schemas.microsoft.com/office/drawing/2014/main" xmlns="" id="{C703DAEC-CF22-4DA9-A1B4-CF1DD2F6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305301" y="1169989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26989</xdr:colOff>
      <xdr:row>8</xdr:row>
      <xdr:rowOff>19052</xdr:rowOff>
    </xdr:from>
    <xdr:to>
      <xdr:col>12</xdr:col>
      <xdr:colOff>242989</xdr:colOff>
      <xdr:row>8</xdr:row>
      <xdr:rowOff>170252</xdr:rowOff>
    </xdr:to>
    <xdr:pic>
      <xdr:nvPicPr>
        <xdr:cNvPr id="62" name="Imagen 61" descr="Bandera de Venezuela">
          <a:extLst>
            <a:ext uri="{FF2B5EF4-FFF2-40B4-BE49-F238E27FC236}">
              <a16:creationId xmlns:a16="http://schemas.microsoft.com/office/drawing/2014/main" xmlns="" id="{FC0C4349-829A-42A9-866F-493ADE7C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306889" y="1746252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26886</xdr:colOff>
      <xdr:row>14</xdr:row>
      <xdr:rowOff>25011</xdr:rowOff>
    </xdr:from>
    <xdr:to>
      <xdr:col>9</xdr:col>
      <xdr:colOff>242886</xdr:colOff>
      <xdr:row>14</xdr:row>
      <xdr:rowOff>176211</xdr:rowOff>
    </xdr:to>
    <xdr:pic>
      <xdr:nvPicPr>
        <xdr:cNvPr id="63" name="Imagen 62" descr="Bandera de Colombia">
          <a:extLst>
            <a:ext uri="{FF2B5EF4-FFF2-40B4-BE49-F238E27FC236}">
              <a16:creationId xmlns:a16="http://schemas.microsoft.com/office/drawing/2014/main" xmlns="" id="{FEF9D09E-683A-447A-B57D-1C8341BA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8661" y="2920611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28473</xdr:colOff>
      <xdr:row>16</xdr:row>
      <xdr:rowOff>23815</xdr:rowOff>
    </xdr:from>
    <xdr:to>
      <xdr:col>9</xdr:col>
      <xdr:colOff>244473</xdr:colOff>
      <xdr:row>16</xdr:row>
      <xdr:rowOff>175015</xdr:rowOff>
    </xdr:to>
    <xdr:pic>
      <xdr:nvPicPr>
        <xdr:cNvPr id="64" name="Imagen 63" descr="Bandera de Colombia">
          <a:extLst>
            <a:ext uri="{FF2B5EF4-FFF2-40B4-BE49-F238E27FC236}">
              <a16:creationId xmlns:a16="http://schemas.microsoft.com/office/drawing/2014/main" xmlns="" id="{D7E85E04-4037-42DD-8404-FD45980AE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3473" y="331311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23815</xdr:colOff>
      <xdr:row>12</xdr:row>
      <xdr:rowOff>29773</xdr:rowOff>
    </xdr:from>
    <xdr:to>
      <xdr:col>12</xdr:col>
      <xdr:colOff>239815</xdr:colOff>
      <xdr:row>12</xdr:row>
      <xdr:rowOff>180973</xdr:rowOff>
    </xdr:to>
    <xdr:pic>
      <xdr:nvPicPr>
        <xdr:cNvPr id="65" name="Imagen 64" descr="Bandera de Qatar">
          <a:extLst>
            <a:ext uri="{FF2B5EF4-FFF2-40B4-BE49-F238E27FC236}">
              <a16:creationId xmlns:a16="http://schemas.microsoft.com/office/drawing/2014/main" xmlns="" id="{9F155A2C-5F96-4D8C-B6A0-05C66404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7615" y="2534848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26886</xdr:colOff>
      <xdr:row>14</xdr:row>
      <xdr:rowOff>23815</xdr:rowOff>
    </xdr:from>
    <xdr:to>
      <xdr:col>12</xdr:col>
      <xdr:colOff>242886</xdr:colOff>
      <xdr:row>14</xdr:row>
      <xdr:rowOff>175015</xdr:rowOff>
    </xdr:to>
    <xdr:pic>
      <xdr:nvPicPr>
        <xdr:cNvPr id="66" name="Imagen 65" descr="Bandera de Qatar">
          <a:extLst>
            <a:ext uri="{FF2B5EF4-FFF2-40B4-BE49-F238E27FC236}">
              <a16:creationId xmlns:a16="http://schemas.microsoft.com/office/drawing/2014/main" xmlns="" id="{831FC652-C6B6-4E50-8819-415C46E5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0686" y="291941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26886</xdr:colOff>
      <xdr:row>15</xdr:row>
      <xdr:rowOff>25011</xdr:rowOff>
    </xdr:from>
    <xdr:to>
      <xdr:col>9</xdr:col>
      <xdr:colOff>242886</xdr:colOff>
      <xdr:row>15</xdr:row>
      <xdr:rowOff>176211</xdr:rowOff>
    </xdr:to>
    <xdr:pic>
      <xdr:nvPicPr>
        <xdr:cNvPr id="67" name="Imagen 66" descr="Bandera de Qatar">
          <a:extLst>
            <a:ext uri="{FF2B5EF4-FFF2-40B4-BE49-F238E27FC236}">
              <a16:creationId xmlns:a16="http://schemas.microsoft.com/office/drawing/2014/main" xmlns="" id="{93F7DFC1-D288-4533-9EC2-C7FC2B620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8661" y="3111111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26886</xdr:colOff>
      <xdr:row>12</xdr:row>
      <xdr:rowOff>29773</xdr:rowOff>
    </xdr:from>
    <xdr:to>
      <xdr:col>9</xdr:col>
      <xdr:colOff>242886</xdr:colOff>
      <xdr:row>12</xdr:row>
      <xdr:rowOff>180973</xdr:rowOff>
    </xdr:to>
    <xdr:pic>
      <xdr:nvPicPr>
        <xdr:cNvPr id="68" name="Imagen 67" descr="Bandera de Paraguay">
          <a:extLst>
            <a:ext uri="{FF2B5EF4-FFF2-40B4-BE49-F238E27FC236}">
              <a16:creationId xmlns:a16="http://schemas.microsoft.com/office/drawing/2014/main" xmlns="" id="{3B9EDAC8-2447-4267-B9D5-533B783E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8661" y="2534848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28473</xdr:colOff>
      <xdr:row>13</xdr:row>
      <xdr:rowOff>25011</xdr:rowOff>
    </xdr:from>
    <xdr:to>
      <xdr:col>12</xdr:col>
      <xdr:colOff>244473</xdr:colOff>
      <xdr:row>13</xdr:row>
      <xdr:rowOff>176211</xdr:rowOff>
    </xdr:to>
    <xdr:pic>
      <xdr:nvPicPr>
        <xdr:cNvPr id="69" name="Imagen 68" descr="Bandera de Paraguay">
          <a:extLst>
            <a:ext uri="{FF2B5EF4-FFF2-40B4-BE49-F238E27FC236}">
              <a16:creationId xmlns:a16="http://schemas.microsoft.com/office/drawing/2014/main" xmlns="" id="{7454D630-72D6-44CD-964D-0F0076D6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8373" y="2742811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28473</xdr:colOff>
      <xdr:row>16</xdr:row>
      <xdr:rowOff>23815</xdr:rowOff>
    </xdr:from>
    <xdr:to>
      <xdr:col>12</xdr:col>
      <xdr:colOff>244473</xdr:colOff>
      <xdr:row>16</xdr:row>
      <xdr:rowOff>175015</xdr:rowOff>
    </xdr:to>
    <xdr:pic>
      <xdr:nvPicPr>
        <xdr:cNvPr id="70" name="Imagen 69" descr="Bandera de Paraguay">
          <a:extLst>
            <a:ext uri="{FF2B5EF4-FFF2-40B4-BE49-F238E27FC236}">
              <a16:creationId xmlns:a16="http://schemas.microsoft.com/office/drawing/2014/main" xmlns="" id="{059601AA-66A0-451D-AC7A-6568A686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8373" y="331311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19052</xdr:colOff>
      <xdr:row>24</xdr:row>
      <xdr:rowOff>25010</xdr:rowOff>
    </xdr:from>
    <xdr:to>
      <xdr:col>12</xdr:col>
      <xdr:colOff>235052</xdr:colOff>
      <xdr:row>24</xdr:row>
      <xdr:rowOff>176210</xdr:rowOff>
    </xdr:to>
    <xdr:pic>
      <xdr:nvPicPr>
        <xdr:cNvPr id="71" name="Imagen 70" descr="Bandera de JapÃ³n">
          <a:extLst>
            <a:ext uri="{FF2B5EF4-FFF2-40B4-BE49-F238E27FC236}">
              <a16:creationId xmlns:a16="http://schemas.microsoft.com/office/drawing/2014/main" xmlns="" id="{3DF44BAD-D7C3-45E8-AC48-E2AEB28837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2" y="4854185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17465</xdr:colOff>
      <xdr:row>22</xdr:row>
      <xdr:rowOff>26989</xdr:rowOff>
    </xdr:from>
    <xdr:to>
      <xdr:col>12</xdr:col>
      <xdr:colOff>233465</xdr:colOff>
      <xdr:row>23</xdr:row>
      <xdr:rowOff>389</xdr:rowOff>
    </xdr:to>
    <xdr:pic>
      <xdr:nvPicPr>
        <xdr:cNvPr id="72" name="Imagen 71" descr="Bandera de Chile">
          <a:extLst>
            <a:ext uri="{FF2B5EF4-FFF2-40B4-BE49-F238E27FC236}">
              <a16:creationId xmlns:a16="http://schemas.microsoft.com/office/drawing/2014/main" xmlns="" id="{00D5A39F-48FA-497C-BDE6-E3CDF92C46F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7365" y="4497389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19052</xdr:colOff>
      <xdr:row>23</xdr:row>
      <xdr:rowOff>25011</xdr:rowOff>
    </xdr:from>
    <xdr:to>
      <xdr:col>9</xdr:col>
      <xdr:colOff>235052</xdr:colOff>
      <xdr:row>23</xdr:row>
      <xdr:rowOff>176211</xdr:rowOff>
    </xdr:to>
    <xdr:pic>
      <xdr:nvPicPr>
        <xdr:cNvPr id="73" name="Imagen 72" descr="Bandera de Chile">
          <a:extLst>
            <a:ext uri="{FF2B5EF4-FFF2-40B4-BE49-F238E27FC236}">
              <a16:creationId xmlns:a16="http://schemas.microsoft.com/office/drawing/2014/main" xmlns="" id="{63813898-0ACD-4720-A6CB-D3565BDA6C6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7" y="4663686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17465</xdr:colOff>
      <xdr:row>19</xdr:row>
      <xdr:rowOff>20639</xdr:rowOff>
    </xdr:from>
    <xdr:to>
      <xdr:col>12</xdr:col>
      <xdr:colOff>233465</xdr:colOff>
      <xdr:row>19</xdr:row>
      <xdr:rowOff>171839</xdr:rowOff>
    </xdr:to>
    <xdr:pic>
      <xdr:nvPicPr>
        <xdr:cNvPr id="74" name="Imagen 73" descr="Bandera de Ecuador">
          <a:extLst>
            <a:ext uri="{FF2B5EF4-FFF2-40B4-BE49-F238E27FC236}">
              <a16:creationId xmlns:a16="http://schemas.microsoft.com/office/drawing/2014/main" xmlns="" id="{42D1552F-9D40-4D0D-9BE7-965F7270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7365" y="3906839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19052</xdr:colOff>
      <xdr:row>22</xdr:row>
      <xdr:rowOff>19052</xdr:rowOff>
    </xdr:from>
    <xdr:to>
      <xdr:col>9</xdr:col>
      <xdr:colOff>235052</xdr:colOff>
      <xdr:row>22</xdr:row>
      <xdr:rowOff>170252</xdr:rowOff>
    </xdr:to>
    <xdr:pic>
      <xdr:nvPicPr>
        <xdr:cNvPr id="75" name="Imagen 74" descr="Bandera de Ecuador">
          <a:extLst>
            <a:ext uri="{FF2B5EF4-FFF2-40B4-BE49-F238E27FC236}">
              <a16:creationId xmlns:a16="http://schemas.microsoft.com/office/drawing/2014/main" xmlns="" id="{6B4870BD-DFD7-4A83-8389-5FDEEF9D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7" y="4467227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19052</xdr:colOff>
      <xdr:row>24</xdr:row>
      <xdr:rowOff>19052</xdr:rowOff>
    </xdr:from>
    <xdr:to>
      <xdr:col>9</xdr:col>
      <xdr:colOff>235052</xdr:colOff>
      <xdr:row>24</xdr:row>
      <xdr:rowOff>170252</xdr:rowOff>
    </xdr:to>
    <xdr:pic>
      <xdr:nvPicPr>
        <xdr:cNvPr id="76" name="Imagen 75" descr="Bandera de Ecuador">
          <a:extLst>
            <a:ext uri="{FF2B5EF4-FFF2-40B4-BE49-F238E27FC236}">
              <a16:creationId xmlns:a16="http://schemas.microsoft.com/office/drawing/2014/main" xmlns="" id="{63BB4674-E333-4EE4-A1D2-07C566D3F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7" y="4848227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160867</xdr:colOff>
      <xdr:row>42</xdr:row>
      <xdr:rowOff>153309</xdr:rowOff>
    </xdr:from>
    <xdr:to>
      <xdr:col>8</xdr:col>
      <xdr:colOff>101600</xdr:colOff>
      <xdr:row>54</xdr:row>
      <xdr:rowOff>188336</xdr:rowOff>
    </xdr:to>
    <xdr:pic>
      <xdr:nvPicPr>
        <xdr:cNvPr id="5" name="Imagen 4" descr="http://www.conmebol.com/sites/default/files/ca-2019-logo-750px.jpg">
          <a:extLst>
            <a:ext uri="{FF2B5EF4-FFF2-40B4-BE49-F238E27FC236}">
              <a16:creationId xmlns:a16="http://schemas.microsoft.com/office/drawing/2014/main" xmlns="" id="{D8918C42-00D9-374C-AA0A-4AD2BC26783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33" t="14227" r="27600" b="15463"/>
        <a:stretch/>
      </xdr:blipFill>
      <xdr:spPr bwMode="auto">
        <a:xfrm>
          <a:off x="224367" y="9741809"/>
          <a:ext cx="2230966" cy="22829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25</xdr:col>
      <xdr:colOff>152400</xdr:colOff>
      <xdr:row>39</xdr:row>
      <xdr:rowOff>0</xdr:rowOff>
    </xdr:from>
    <xdr:to>
      <xdr:col>35</xdr:col>
      <xdr:colOff>114300</xdr:colOff>
      <xdr:row>40</xdr:row>
      <xdr:rowOff>25400</xdr:rowOff>
    </xdr:to>
    <xdr:sp macro="" textlink="">
      <xdr:nvSpPr>
        <xdr:cNvPr id="8" name="Rectángulo redondeado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E1E1AB2A-7EEC-9A42-821B-CC99488FE456}"/>
            </a:ext>
          </a:extLst>
        </xdr:cNvPr>
        <xdr:cNvSpPr/>
      </xdr:nvSpPr>
      <xdr:spPr>
        <a:xfrm>
          <a:off x="7302500" y="8851900"/>
          <a:ext cx="2108200" cy="31750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rgbClr val="FF0000"/>
              </a:solidFill>
            </a:rPr>
            <a:t>© </a:t>
          </a:r>
          <a:r>
            <a:rPr lang="es-ES" sz="1100" b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Miguel Angel Tejero. 2019</a:t>
          </a:r>
          <a:endParaRPr lang="es-ES" b="0">
            <a:solidFill>
              <a:srgbClr val="FF0000"/>
            </a:solidFill>
            <a:effectLst/>
          </a:endParaRPr>
        </a:p>
        <a:p>
          <a:pPr algn="ctr"/>
          <a:r>
            <a:rPr lang="es-ES" sz="1100" b="1" baseline="0">
              <a:solidFill>
                <a:srgbClr val="FF0000"/>
              </a:solidFill>
            </a:rPr>
            <a:t> 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9</xdr:col>
      <xdr:colOff>216000</xdr:colOff>
      <xdr:row>1</xdr:row>
      <xdr:rowOff>151200</xdr:rowOff>
    </xdr:to>
    <xdr:pic>
      <xdr:nvPicPr>
        <xdr:cNvPr id="2" name="Imagen 1" descr="Bandera de Brasil">
          <a:extLst>
            <a:ext uri="{FF2B5EF4-FFF2-40B4-BE49-F238E27FC236}">
              <a16:creationId xmlns:a16="http://schemas.microsoft.com/office/drawing/2014/main" xmlns="" id="{8B1B0334-DB72-488C-B13F-9A5E5AFBE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067675" y="190500"/>
          <a:ext cx="216000" cy="151200"/>
        </a:xfrm>
        <a:prstGeom prst="rect">
          <a:avLst/>
        </a:prstGeom>
        <a:noFill/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11</xdr:row>
      <xdr:rowOff>0</xdr:rowOff>
    </xdr:from>
    <xdr:to>
      <xdr:col>9</xdr:col>
      <xdr:colOff>216000</xdr:colOff>
      <xdr:row>11</xdr:row>
      <xdr:rowOff>151200</xdr:rowOff>
    </xdr:to>
    <xdr:pic>
      <xdr:nvPicPr>
        <xdr:cNvPr id="3" name="Imagen 2" descr="Bandera de Uruguay">
          <a:extLst>
            <a:ext uri="{FF2B5EF4-FFF2-40B4-BE49-F238E27FC236}">
              <a16:creationId xmlns:a16="http://schemas.microsoft.com/office/drawing/2014/main" xmlns="" id="{323F9977-87A5-4776-9919-EDFF4D4BA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067676" y="20955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12</xdr:row>
      <xdr:rowOff>0</xdr:rowOff>
    </xdr:from>
    <xdr:to>
      <xdr:col>9</xdr:col>
      <xdr:colOff>216000</xdr:colOff>
      <xdr:row>12</xdr:row>
      <xdr:rowOff>151200</xdr:rowOff>
    </xdr:to>
    <xdr:pic>
      <xdr:nvPicPr>
        <xdr:cNvPr id="4" name="Imagen 3" descr="Bandera de Venezuela">
          <a:extLst>
            <a:ext uri="{FF2B5EF4-FFF2-40B4-BE49-F238E27FC236}">
              <a16:creationId xmlns:a16="http://schemas.microsoft.com/office/drawing/2014/main" xmlns="" id="{8534CB40-03DF-41CE-B557-F35CE93F0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067676" y="22860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10</xdr:row>
      <xdr:rowOff>0</xdr:rowOff>
    </xdr:from>
    <xdr:to>
      <xdr:col>9</xdr:col>
      <xdr:colOff>216000</xdr:colOff>
      <xdr:row>10</xdr:row>
      <xdr:rowOff>151200</xdr:rowOff>
    </xdr:to>
    <xdr:pic>
      <xdr:nvPicPr>
        <xdr:cNvPr id="5" name="Imagen 4" descr="Bandera de PerÃº">
          <a:extLst>
            <a:ext uri="{FF2B5EF4-FFF2-40B4-BE49-F238E27FC236}">
              <a16:creationId xmlns:a16="http://schemas.microsoft.com/office/drawing/2014/main" xmlns="" id="{271DB6D1-18B3-4CC7-A514-E71780F83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067676" y="19050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2</xdr:row>
      <xdr:rowOff>0</xdr:rowOff>
    </xdr:from>
    <xdr:to>
      <xdr:col>9</xdr:col>
      <xdr:colOff>216000</xdr:colOff>
      <xdr:row>2</xdr:row>
      <xdr:rowOff>151200</xdr:rowOff>
    </xdr:to>
    <xdr:pic>
      <xdr:nvPicPr>
        <xdr:cNvPr id="6" name="Imagen 5" descr="Bandera de Argentina">
          <a:extLst>
            <a:ext uri="{FF2B5EF4-FFF2-40B4-BE49-F238E27FC236}">
              <a16:creationId xmlns:a16="http://schemas.microsoft.com/office/drawing/2014/main" xmlns="" id="{24C3E942-330A-4C3D-BCDF-92988F2E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3810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3</xdr:row>
      <xdr:rowOff>0</xdr:rowOff>
    </xdr:from>
    <xdr:to>
      <xdr:col>9</xdr:col>
      <xdr:colOff>216000</xdr:colOff>
      <xdr:row>3</xdr:row>
      <xdr:rowOff>151200</xdr:rowOff>
    </xdr:to>
    <xdr:pic>
      <xdr:nvPicPr>
        <xdr:cNvPr id="7" name="Imagen 6" descr="Bandera de Bolivia">
          <a:extLst>
            <a:ext uri="{FF2B5EF4-FFF2-40B4-BE49-F238E27FC236}">
              <a16:creationId xmlns:a16="http://schemas.microsoft.com/office/drawing/2014/main" xmlns="" id="{BDF1FB93-F13D-4644-B877-CF50756AC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5715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5</xdr:row>
      <xdr:rowOff>0</xdr:rowOff>
    </xdr:from>
    <xdr:to>
      <xdr:col>9</xdr:col>
      <xdr:colOff>216000</xdr:colOff>
      <xdr:row>5</xdr:row>
      <xdr:rowOff>151200</xdr:rowOff>
    </xdr:to>
    <xdr:pic>
      <xdr:nvPicPr>
        <xdr:cNvPr id="8" name="Imagen 7" descr="Bandera de Chile">
          <a:extLst>
            <a:ext uri="{FF2B5EF4-FFF2-40B4-BE49-F238E27FC236}">
              <a16:creationId xmlns:a16="http://schemas.microsoft.com/office/drawing/2014/main" xmlns="" id="{4E2B0F17-799E-4A7F-AB98-D6C4F6A8FAF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9525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6</xdr:row>
      <xdr:rowOff>0</xdr:rowOff>
    </xdr:from>
    <xdr:to>
      <xdr:col>9</xdr:col>
      <xdr:colOff>216000</xdr:colOff>
      <xdr:row>6</xdr:row>
      <xdr:rowOff>151200</xdr:rowOff>
    </xdr:to>
    <xdr:pic>
      <xdr:nvPicPr>
        <xdr:cNvPr id="9" name="Imagen 8" descr="Bandera de Colombia">
          <a:extLst>
            <a:ext uri="{FF2B5EF4-FFF2-40B4-BE49-F238E27FC236}">
              <a16:creationId xmlns:a16="http://schemas.microsoft.com/office/drawing/2014/main" xmlns="" id="{37752946-8EF9-4150-90E7-FCF4EBD6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11430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7</xdr:row>
      <xdr:rowOff>0</xdr:rowOff>
    </xdr:from>
    <xdr:to>
      <xdr:col>9</xdr:col>
      <xdr:colOff>216000</xdr:colOff>
      <xdr:row>7</xdr:row>
      <xdr:rowOff>151200</xdr:rowOff>
    </xdr:to>
    <xdr:pic>
      <xdr:nvPicPr>
        <xdr:cNvPr id="10" name="Imagen 9" descr="Bandera de Ecuador">
          <a:extLst>
            <a:ext uri="{FF2B5EF4-FFF2-40B4-BE49-F238E27FC236}">
              <a16:creationId xmlns:a16="http://schemas.microsoft.com/office/drawing/2014/main" xmlns="" id="{98AF4CC0-BB6A-49DA-BE55-2A7E6424D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13335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9</xdr:row>
      <xdr:rowOff>0</xdr:rowOff>
    </xdr:from>
    <xdr:to>
      <xdr:col>9</xdr:col>
      <xdr:colOff>216000</xdr:colOff>
      <xdr:row>9</xdr:row>
      <xdr:rowOff>151200</xdr:rowOff>
    </xdr:to>
    <xdr:pic>
      <xdr:nvPicPr>
        <xdr:cNvPr id="11" name="Imagen 10" descr="Bandera de Paraguay">
          <a:extLst>
            <a:ext uri="{FF2B5EF4-FFF2-40B4-BE49-F238E27FC236}">
              <a16:creationId xmlns:a16="http://schemas.microsoft.com/office/drawing/2014/main" xmlns="" id="{1580CF7B-0B7E-465A-88D1-601C03DB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17145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9</xdr:col>
      <xdr:colOff>216000</xdr:colOff>
      <xdr:row>4</xdr:row>
      <xdr:rowOff>151200</xdr:rowOff>
    </xdr:to>
    <xdr:pic>
      <xdr:nvPicPr>
        <xdr:cNvPr id="12" name="Imagen 11" descr="Bandera de Qatar">
          <a:extLst>
            <a:ext uri="{FF2B5EF4-FFF2-40B4-BE49-F238E27FC236}">
              <a16:creationId xmlns:a16="http://schemas.microsoft.com/office/drawing/2014/main" xmlns="" id="{890936EF-AEDA-4CEC-A9BF-84D2EE384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7620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8</xdr:row>
      <xdr:rowOff>0</xdr:rowOff>
    </xdr:from>
    <xdr:to>
      <xdr:col>9</xdr:col>
      <xdr:colOff>216000</xdr:colOff>
      <xdr:row>8</xdr:row>
      <xdr:rowOff>151200</xdr:rowOff>
    </xdr:to>
    <xdr:pic>
      <xdr:nvPicPr>
        <xdr:cNvPr id="13" name="Imagen 12" descr="Bandera de JapÃ³n">
          <a:extLst>
            <a:ext uri="{FF2B5EF4-FFF2-40B4-BE49-F238E27FC236}">
              <a16:creationId xmlns:a16="http://schemas.microsoft.com/office/drawing/2014/main" xmlns="" id="{7ED2FF99-29D4-4DE8-86C9-6B4F183E7E6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6" y="1524000"/>
          <a:ext cx="2160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roq_2/Desktop/Polla%20mundial/PorraMundialRusia2018-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icio"/>
      <sheetName val="Porra Mundial"/>
      <sheetName val="Rank"/>
      <sheetName val="La Apuesta"/>
      <sheetName val="PorraMundialRusia2018-2"/>
      <sheetName val="PorraMundialRusia2018-2.xlsx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2" name="Tabla2" displayName="Tabla2" ref="AV2:AW9" totalsRowShown="0" headerRowDxfId="55" dataDxfId="53" headerRowBorderDxfId="54" tableBorderDxfId="52" totalsRowBorderDxfId="51">
  <tableColumns count="2">
    <tableColumn id="1" name="TOPIC" dataDxfId="50"/>
    <tableColumn id="2" name="VALUE" dataDxfId="49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A1:D13" totalsRowShown="0" headerRowDxfId="5" dataDxfId="4">
  <sortState ref="A2:D13">
    <sortCondition ref="D2:D13"/>
  </sortState>
  <tableColumns count="4">
    <tableColumn id="1" name="OK" dataDxfId="3">
      <calculatedColumnFormula>NOT(ISERROR(VLOOKUP(Equipos!$B2,#REF!,1,FALSE)))</calculatedColumnFormula>
    </tableColumn>
    <tableColumn id="2" name="NombreEquipo" dataDxfId="2">
      <calculatedColumnFormula>VLOOKUP(Tabla3[[#This Row],[OK]],$G$2:$H$13,2,0)</calculatedColumnFormula>
    </tableColumn>
    <tableColumn id="4" name="Grupo" dataDxfId="1"/>
    <tableColumn id="3" name="Rank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 enableFormatConditionsCalculation="0">
    <tabColor theme="6"/>
  </sheetPr>
  <dimension ref="A1:O24"/>
  <sheetViews>
    <sheetView showRowColHeaders="0" tabSelected="1" workbookViewId="0">
      <selection activeCell="H12" sqref="H12"/>
    </sheetView>
  </sheetViews>
  <sheetFormatPr baseColWidth="10" defaultColWidth="0" defaultRowHeight="14" zeroHeight="1" x14ac:dyDescent="0"/>
  <cols>
    <col min="1" max="4" width="10.83203125" style="1" customWidth="1"/>
    <col min="5" max="5" width="12.6640625" style="1" customWidth="1"/>
    <col min="6" max="10" width="10.83203125" style="1" customWidth="1"/>
    <col min="11" max="15" width="0" style="1" hidden="1" customWidth="1"/>
    <col min="16" max="16384" width="10.83203125" style="1" hidden="1"/>
  </cols>
  <sheetData>
    <row r="1" spans="15:15"/>
    <row r="2" spans="15:15"/>
    <row r="3" spans="15:15"/>
    <row r="4" spans="15:15">
      <c r="O4" s="32"/>
    </row>
    <row r="5" spans="15:15"/>
    <row r="6" spans="15:15"/>
    <row r="7" spans="15:15"/>
    <row r="8" spans="15:15"/>
    <row r="9" spans="15:15"/>
    <row r="10" spans="15:15"/>
    <row r="11" spans="15:15"/>
    <row r="12" spans="15:15"/>
    <row r="13" spans="15:15"/>
    <row r="14" spans="15:15"/>
    <row r="15" spans="15:15"/>
    <row r="16" spans="15:15"/>
    <row r="17" spans="6:13"/>
    <row r="18" spans="6:13"/>
    <row r="19" spans="6:13">
      <c r="F19" s="221" t="s">
        <v>161</v>
      </c>
    </row>
    <row r="20" spans="6:13"/>
    <row r="21" spans="6:13"/>
    <row r="22" spans="6:13"/>
    <row r="23" spans="6:13" hidden="1"/>
    <row r="24" spans="6:13" hidden="1">
      <c r="M24"/>
    </row>
  </sheetData>
  <sheetProtection algorithmName="SHA-512" hashValue="ye+VO7Gn7jO9iP4B6HBVd1evMcv8HW2LJIbmyJhr7utrsjJ2ULXK/ijjmo3QC/tKaF3wtUbAeWSzBztNOvoqvw==" saltValue="c+HGYKc1Uo7naBtF6Tzkug==" spinCount="100000" selectLockedCells="1" selectUnlockedCells="1"/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 enableFormatConditionsCalculation="0"/>
  <dimension ref="A1:RPS158"/>
  <sheetViews>
    <sheetView showGridLines="0" showRowColHeaders="0" view="pageBreakPreview" topLeftCell="D33" zoomScaleSheetLayoutView="100" workbookViewId="0">
      <selection activeCell="N26" sqref="N26"/>
    </sheetView>
  </sheetViews>
  <sheetFormatPr baseColWidth="10" defaultColWidth="0" defaultRowHeight="14" zeroHeight="1" x14ac:dyDescent="0"/>
  <cols>
    <col min="1" max="2" width="10.83203125" style="2" hidden="1" customWidth="1"/>
    <col min="3" max="3" width="2.1640625" style="1" hidden="1" customWidth="1"/>
    <col min="4" max="4" width="2.1640625" style="1" customWidth="1"/>
    <col min="5" max="5" width="6.6640625" style="1" customWidth="1"/>
    <col min="6" max="6" width="11.5" style="1" customWidth="1"/>
    <col min="7" max="7" width="6.83203125" style="1" customWidth="1"/>
    <col min="8" max="8" width="4" style="1" bestFit="1" customWidth="1"/>
    <col min="9" max="9" width="10.33203125" style="1" bestFit="1" customWidth="1"/>
    <col min="10" max="10" width="3.83203125" style="1" customWidth="1"/>
    <col min="11" max="12" width="5.1640625" style="1" customWidth="1"/>
    <col min="13" max="13" width="3.83203125" style="1" customWidth="1"/>
    <col min="14" max="14" width="13.6640625" style="1" customWidth="1"/>
    <col min="15" max="15" width="3.33203125" style="1" customWidth="1"/>
    <col min="16" max="16" width="9.1640625" style="1" bestFit="1" customWidth="1"/>
    <col min="17" max="17" width="4.33203125" style="1" bestFit="1" customWidth="1"/>
    <col min="18" max="18" width="12.6640625" style="1" customWidth="1"/>
    <col min="19" max="19" width="7.1640625" style="1" customWidth="1"/>
    <col min="20" max="20" width="4.5" style="1" customWidth="1"/>
    <col min="21" max="21" width="6.5" style="1" customWidth="1"/>
    <col min="22" max="23" width="3.1640625" style="1" customWidth="1"/>
    <col min="24" max="24" width="3.33203125" style="1" customWidth="1"/>
    <col min="25" max="25" width="3.83203125" style="1" customWidth="1"/>
    <col min="26" max="26" width="4.1640625" style="1" customWidth="1"/>
    <col min="27" max="27" width="3.33203125" style="5" customWidth="1"/>
    <col min="28" max="28" width="11.83203125" style="10" bestFit="1" customWidth="1"/>
    <col min="29" max="29" width="3.33203125" style="5" customWidth="1"/>
    <col min="30" max="30" width="5.33203125" style="5" customWidth="1"/>
    <col min="31" max="31" width="3" style="5" customWidth="1"/>
    <col min="32" max="32" width="11.33203125" style="22" hidden="1" customWidth="1"/>
    <col min="33" max="33" width="4.1640625" style="22" hidden="1" customWidth="1"/>
    <col min="34" max="34" width="7.1640625" style="22" hidden="1" customWidth="1"/>
    <col min="35" max="35" width="11.5" style="22" hidden="1" customWidth="1"/>
    <col min="36" max="36" width="5" style="22" hidden="1" customWidth="1"/>
    <col min="37" max="40" width="2.5" style="22" hidden="1" customWidth="1"/>
    <col min="41" max="41" width="3.33203125" style="22" hidden="1" customWidth="1"/>
    <col min="42" max="42" width="3.83203125" style="22" hidden="1" customWidth="1"/>
    <col min="43" max="43" width="4.1640625" style="22" hidden="1" customWidth="1"/>
    <col min="44" max="44" width="11.6640625" style="22" hidden="1" customWidth="1"/>
    <col min="45" max="45" width="8.83203125" style="22" hidden="1" customWidth="1"/>
    <col min="46" max="46" width="2.83203125" style="22" hidden="1" customWidth="1"/>
    <col min="47" max="47" width="11.5" style="22" hidden="1" customWidth="1"/>
    <col min="48" max="48" width="15.1640625" style="22" hidden="1" customWidth="1"/>
    <col min="49" max="49" width="15.83203125" style="22" hidden="1" customWidth="1"/>
    <col min="50" max="50" width="3.1640625" style="22" hidden="1" customWidth="1"/>
    <col min="51" max="51" width="11.5" style="22" hidden="1" customWidth="1"/>
    <col min="52" max="54" width="9.5" style="22" hidden="1" customWidth="1"/>
    <col min="55" max="55" width="8.5" style="22" hidden="1" customWidth="1"/>
    <col min="56" max="59" width="7.1640625" style="22" hidden="1" customWidth="1"/>
    <col min="60" max="61" width="8.5" style="22" hidden="1" customWidth="1"/>
    <col min="62" max="62" width="7.1640625" style="22" hidden="1" customWidth="1"/>
    <col min="63" max="63" width="5" style="22" hidden="1" customWidth="1"/>
    <col min="64" max="64" width="5.1640625" style="22" hidden="1" customWidth="1"/>
    <col min="65" max="65" width="4.6640625" style="22" hidden="1" customWidth="1"/>
    <col min="66" max="66" width="4.33203125" style="22" hidden="1" customWidth="1"/>
    <col min="67" max="67" width="9.33203125" style="22" hidden="1" customWidth="1"/>
    <col min="68" max="68" width="11.83203125" style="22" hidden="1" customWidth="1"/>
    <col min="69" max="69" width="11" style="22" hidden="1" customWidth="1"/>
    <col min="70" max="70" width="11.83203125" style="22" hidden="1" customWidth="1"/>
    <col min="71" max="71" width="11" style="22" hidden="1" customWidth="1"/>
    <col min="72" max="73" width="3" style="22" hidden="1" customWidth="1"/>
    <col min="74" max="74" width="15.5" style="22" hidden="1" customWidth="1"/>
    <col min="75" max="75" width="4.83203125" style="22" hidden="1" customWidth="1"/>
    <col min="76" max="76" width="13.83203125" style="22" hidden="1" customWidth="1"/>
    <col min="77" max="77" width="3.33203125" style="22" hidden="1" customWidth="1"/>
    <col min="78" max="78" width="3" style="22" hidden="1" customWidth="1"/>
    <col min="79" max="79" width="9.6640625" style="22" hidden="1" customWidth="1"/>
    <col min="80" max="80" width="10.83203125" style="21" hidden="1" customWidth="1"/>
    <col min="81" max="81" width="2.33203125" style="21" hidden="1" customWidth="1"/>
    <col min="82" max="103" width="7.1640625" style="21" hidden="1" customWidth="1"/>
    <col min="104" max="105" width="2" style="21" hidden="1" customWidth="1"/>
    <col min="106" max="118" width="10.83203125" style="21" hidden="1" customWidth="1"/>
    <col min="119" max="120" width="10.83203125" style="2" hidden="1" customWidth="1"/>
    <col min="121" max="121" width="12.83203125" style="6" hidden="1" customWidth="1"/>
    <col min="122" max="16384" width="10.83203125" style="2" hidden="1"/>
  </cols>
  <sheetData>
    <row r="1" spans="1:121 3565:3565 6820:6820 11323:11323" ht="24" customHeight="1">
      <c r="A1" s="196"/>
      <c r="B1" s="196"/>
      <c r="C1" s="196"/>
      <c r="D1" s="285"/>
      <c r="E1" s="270" t="s">
        <v>173</v>
      </c>
      <c r="F1" s="271"/>
      <c r="G1" s="439" t="s">
        <v>46</v>
      </c>
      <c r="H1" s="439"/>
      <c r="I1" s="272" t="s">
        <v>21</v>
      </c>
      <c r="J1" s="273"/>
      <c r="K1" s="272"/>
      <c r="L1" s="272"/>
      <c r="M1" s="272"/>
      <c r="N1" s="272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1"/>
      <c r="AD1" s="271"/>
      <c r="AE1" s="271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6"/>
      <c r="CC1" s="226"/>
      <c r="CD1" s="226"/>
      <c r="CE1" s="226"/>
      <c r="CF1" s="226"/>
      <c r="CG1" s="226"/>
      <c r="CH1" s="226"/>
      <c r="CI1" s="226"/>
      <c r="CJ1" s="226"/>
      <c r="CK1" s="226"/>
      <c r="CL1" s="226"/>
      <c r="CM1" s="226"/>
      <c r="CN1" s="226"/>
      <c r="CO1" s="226"/>
      <c r="CP1" s="226"/>
      <c r="CQ1" s="226"/>
      <c r="CR1" s="226"/>
      <c r="CS1" s="226"/>
      <c r="CT1" s="226"/>
      <c r="CU1" s="226"/>
      <c r="CV1" s="226"/>
      <c r="CW1" s="226"/>
      <c r="CX1" s="226"/>
      <c r="CY1" s="226"/>
      <c r="CZ1" s="226"/>
      <c r="DA1" s="226"/>
      <c r="DB1" s="226"/>
      <c r="DC1" s="226"/>
      <c r="DD1" s="226"/>
      <c r="DE1" s="226"/>
      <c r="DF1" s="226"/>
      <c r="DG1" s="226"/>
      <c r="DH1" s="226"/>
      <c r="DI1" s="226"/>
      <c r="DJ1" s="226"/>
      <c r="DK1" s="226"/>
      <c r="DL1" s="226"/>
      <c r="DM1" s="226"/>
      <c r="DN1" s="226"/>
      <c r="DO1" s="226"/>
      <c r="DP1" s="226"/>
      <c r="DQ1" s="226"/>
    </row>
    <row r="2" spans="1:121 3565:3565 6820:6820 11323:11323" ht="20" customHeight="1">
      <c r="A2" s="196"/>
      <c r="B2" s="196"/>
      <c r="C2" s="196"/>
      <c r="D2" s="285"/>
      <c r="E2" s="274"/>
      <c r="F2" s="274"/>
      <c r="G2" s="275">
        <f>IFERROR(VLOOKUP(G1,BP39:BQ51,2,0),10)</f>
        <v>3</v>
      </c>
      <c r="H2" s="274"/>
      <c r="I2" s="276"/>
      <c r="J2" s="274"/>
      <c r="K2" s="276"/>
      <c r="L2" s="276"/>
      <c r="M2" s="276"/>
      <c r="N2" s="276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8"/>
      <c r="AB2" s="278"/>
      <c r="AC2" s="278"/>
      <c r="AD2" s="278"/>
      <c r="AE2" s="278"/>
      <c r="AF2" s="225"/>
      <c r="AG2" s="226"/>
      <c r="AH2" s="226" t="s">
        <v>25</v>
      </c>
      <c r="AI2" s="226"/>
      <c r="AJ2" s="226"/>
      <c r="AK2" s="226"/>
      <c r="AL2" s="226"/>
      <c r="AM2" s="226"/>
      <c r="AN2" s="226"/>
      <c r="AO2" s="226"/>
      <c r="AP2" s="226"/>
      <c r="AQ2" s="226"/>
      <c r="AR2" s="226"/>
      <c r="AS2" s="226"/>
      <c r="AT2" s="226"/>
      <c r="AU2" s="226"/>
      <c r="AV2" s="226" t="s">
        <v>26</v>
      </c>
      <c r="AW2" s="226" t="s">
        <v>27</v>
      </c>
      <c r="AX2" s="226"/>
      <c r="AY2" s="226"/>
      <c r="AZ2" s="226"/>
      <c r="BA2" s="226"/>
      <c r="BB2" s="226"/>
      <c r="BC2" s="226"/>
      <c r="BD2" s="226"/>
      <c r="BE2" s="226"/>
      <c r="BF2" s="226"/>
      <c r="BG2" s="226"/>
      <c r="BH2" s="226"/>
      <c r="BI2" s="226"/>
      <c r="BJ2" s="226"/>
      <c r="BK2" s="226"/>
      <c r="BL2" s="226"/>
      <c r="BM2" s="226"/>
      <c r="BN2" s="226"/>
      <c r="BO2" s="226"/>
      <c r="BP2" s="226"/>
      <c r="BQ2" s="226"/>
      <c r="BR2" s="226"/>
      <c r="BS2" s="226"/>
      <c r="BT2" s="226"/>
      <c r="BU2" s="226"/>
      <c r="BV2" s="226"/>
      <c r="BW2" s="226"/>
      <c r="BX2" s="226"/>
      <c r="BY2" s="226"/>
      <c r="BZ2" s="226"/>
      <c r="CA2" s="227"/>
      <c r="CB2" s="226"/>
      <c r="CC2" s="226"/>
      <c r="CD2" s="226"/>
      <c r="CE2" s="226"/>
      <c r="CF2" s="226"/>
      <c r="CG2" s="226"/>
      <c r="CH2" s="226"/>
      <c r="CI2" s="226"/>
      <c r="CJ2" s="226"/>
      <c r="CK2" s="226"/>
      <c r="CL2" s="226" t="s">
        <v>76</v>
      </c>
      <c r="CM2" s="226"/>
      <c r="CN2" s="226"/>
      <c r="CO2" s="226"/>
      <c r="CP2" s="226"/>
      <c r="CQ2" s="226"/>
      <c r="CR2" s="226"/>
      <c r="CS2" s="226"/>
      <c r="CT2" s="226"/>
      <c r="CU2" s="226"/>
      <c r="CV2" s="226"/>
      <c r="CW2" s="226"/>
      <c r="CX2" s="226"/>
      <c r="CY2" s="226"/>
      <c r="CZ2" s="226"/>
      <c r="DA2" s="226"/>
      <c r="DB2" s="226"/>
      <c r="DC2" s="226"/>
      <c r="DD2" s="226"/>
      <c r="DE2" s="226"/>
      <c r="DF2" s="226"/>
      <c r="DG2" s="226"/>
      <c r="DH2" s="226"/>
      <c r="DI2" s="226"/>
      <c r="DJ2" s="226"/>
      <c r="DK2" s="226"/>
      <c r="DL2" s="226"/>
      <c r="DM2" s="226"/>
      <c r="DN2" s="226"/>
      <c r="DO2" s="226"/>
      <c r="DP2" s="226"/>
      <c r="DQ2" s="226"/>
    </row>
    <row r="3" spans="1:121 3565:3565 6820:6820 11323:11323" ht="15" thickBot="1">
      <c r="A3" s="196"/>
      <c r="B3" s="196"/>
      <c r="C3" s="196"/>
      <c r="D3" s="285"/>
      <c r="E3" s="279"/>
      <c r="F3" s="280" t="s">
        <v>13</v>
      </c>
      <c r="G3" s="280" t="s">
        <v>85</v>
      </c>
      <c r="H3" s="281" t="s">
        <v>88</v>
      </c>
      <c r="I3" s="282" t="s">
        <v>22</v>
      </c>
      <c r="J3" s="280"/>
      <c r="K3" s="283" t="s">
        <v>24</v>
      </c>
      <c r="L3" s="283" t="s">
        <v>24</v>
      </c>
      <c r="M3" s="283"/>
      <c r="N3" s="284" t="s">
        <v>23</v>
      </c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8"/>
      <c r="AB3" s="278"/>
      <c r="AC3" s="278"/>
      <c r="AD3" s="278"/>
      <c r="AE3" s="278"/>
      <c r="AF3" s="225"/>
      <c r="AG3" s="226"/>
      <c r="AH3" s="226"/>
      <c r="AI3" s="226"/>
      <c r="AJ3" s="226"/>
      <c r="AK3" s="226"/>
      <c r="AL3" s="226"/>
      <c r="AM3" s="226"/>
      <c r="AN3" s="226"/>
      <c r="AO3" s="226"/>
      <c r="AP3" s="226"/>
      <c r="AQ3" s="226"/>
      <c r="AR3" s="226"/>
      <c r="AS3" s="226"/>
      <c r="AT3" s="226"/>
      <c r="AU3" s="226"/>
      <c r="AV3" s="230" t="s">
        <v>32</v>
      </c>
      <c r="AW3" s="231">
        <f>AW4*2</f>
        <v>2000000000</v>
      </c>
      <c r="AX3" s="226"/>
      <c r="AY3" s="226"/>
      <c r="AZ3" s="226"/>
      <c r="BA3" s="226"/>
      <c r="BB3" s="226"/>
      <c r="BC3" s="226"/>
      <c r="BD3" s="226"/>
      <c r="BE3" s="226"/>
      <c r="BF3" s="226"/>
      <c r="BG3" s="226"/>
      <c r="BH3" s="226"/>
      <c r="BI3" s="226"/>
      <c r="BJ3" s="226"/>
      <c r="BK3" s="226"/>
      <c r="BL3" s="226"/>
      <c r="BM3" s="226"/>
      <c r="BN3" s="226"/>
      <c r="BO3" s="226"/>
      <c r="BP3" s="226"/>
      <c r="BQ3" s="226"/>
      <c r="BR3" s="226"/>
      <c r="BS3" s="226"/>
      <c r="BT3" s="226"/>
      <c r="BU3" s="226"/>
      <c r="BV3" s="226"/>
      <c r="BW3" s="226"/>
      <c r="BX3" s="226"/>
      <c r="BY3" s="226"/>
      <c r="BZ3" s="226"/>
      <c r="CA3" s="227"/>
      <c r="CB3" s="226"/>
      <c r="CC3" s="226"/>
      <c r="CD3" s="225">
        <v>1</v>
      </c>
      <c r="CE3" s="225">
        <v>12</v>
      </c>
      <c r="CF3" s="225">
        <v>18</v>
      </c>
      <c r="CG3" s="225">
        <v>19</v>
      </c>
      <c r="CH3" s="225">
        <v>13</v>
      </c>
      <c r="CI3" s="225">
        <v>20</v>
      </c>
      <c r="CJ3" s="225">
        <v>21</v>
      </c>
      <c r="CK3" s="225">
        <v>22</v>
      </c>
      <c r="CL3" s="225">
        <v>3</v>
      </c>
      <c r="CM3" s="225">
        <v>2</v>
      </c>
      <c r="CN3" s="225">
        <v>14</v>
      </c>
      <c r="CO3" s="225">
        <v>17</v>
      </c>
      <c r="CP3" s="225">
        <v>16</v>
      </c>
      <c r="CQ3" s="225">
        <v>15</v>
      </c>
      <c r="CR3" s="225">
        <v>4</v>
      </c>
      <c r="CS3" s="225">
        <v>5</v>
      </c>
      <c r="CT3" s="225">
        <v>10</v>
      </c>
      <c r="CU3" s="225">
        <v>8</v>
      </c>
      <c r="CV3" s="225">
        <v>6</v>
      </c>
      <c r="CW3" s="225">
        <v>11</v>
      </c>
      <c r="CX3" s="225">
        <v>7</v>
      </c>
      <c r="CY3" s="225">
        <v>9</v>
      </c>
      <c r="CZ3" s="225" t="s">
        <v>75</v>
      </c>
      <c r="DA3" s="225" t="s">
        <v>75</v>
      </c>
      <c r="DB3" s="226"/>
      <c r="DC3" s="226"/>
      <c r="DD3" s="226"/>
      <c r="DE3" s="226"/>
      <c r="DF3" s="227" t="s">
        <v>55</v>
      </c>
      <c r="DG3" s="227" t="s">
        <v>56</v>
      </c>
      <c r="DH3" s="227" t="s">
        <v>58</v>
      </c>
      <c r="DI3" s="227" t="s">
        <v>59</v>
      </c>
      <c r="DJ3" s="227" t="s">
        <v>60</v>
      </c>
      <c r="DK3" s="227" t="s">
        <v>61</v>
      </c>
      <c r="DL3" s="227" t="s">
        <v>62</v>
      </c>
      <c r="DM3" s="227" t="s">
        <v>63</v>
      </c>
      <c r="DN3" s="227" t="s">
        <v>64</v>
      </c>
      <c r="DO3" s="227" t="s">
        <v>65</v>
      </c>
      <c r="DP3" s="226"/>
      <c r="DQ3" s="226"/>
      <c r="JBH3" s="7" t="s">
        <v>20</v>
      </c>
    </row>
    <row r="4" spans="1:121 3565:3565 6820:6820 11323:11323" s="321" customFormat="1" ht="15" customHeight="1">
      <c r="A4" s="352" t="s">
        <v>87</v>
      </c>
      <c r="B4" s="353" t="s">
        <v>0</v>
      </c>
      <c r="C4" s="275">
        <f>COUNTIF(Equipos!$C$2:$C$13,'COPA AMERICA'!B4)</f>
        <v>4</v>
      </c>
      <c r="D4" s="286"/>
      <c r="E4" s="431" t="s">
        <v>0</v>
      </c>
      <c r="F4" s="181">
        <v>43630</v>
      </c>
      <c r="G4" s="182">
        <f t="shared" ref="G4:G9" si="0">BV39+VLOOKUP($G$2,$BO$39:$BS$51,4,0)*VLOOKUP($G$2,$BO$39:$BS$51,5,0)</f>
        <v>43630.895833333336</v>
      </c>
      <c r="H4" s="181" t="s">
        <v>82</v>
      </c>
      <c r="I4" s="183" t="str">
        <f ca="1">A5</f>
        <v>Brasil</v>
      </c>
      <c r="J4" s="184"/>
      <c r="K4" s="185">
        <v>3</v>
      </c>
      <c r="L4" s="185">
        <v>0</v>
      </c>
      <c r="M4" s="186"/>
      <c r="N4" s="187" t="str">
        <f ca="1">A6</f>
        <v>Bolivia</v>
      </c>
      <c r="O4" s="293">
        <f>IF(NOT(OR(ISBLANK(K4),ISBLANK(L4))),1,0)</f>
        <v>1</v>
      </c>
      <c r="P4" s="291"/>
      <c r="Q4" s="197" t="str">
        <f>CONCATENATE("Grupo"," ",B4)</f>
        <v>Grupo A</v>
      </c>
      <c r="R4" s="198"/>
      <c r="S4" s="198"/>
      <c r="T4" s="198"/>
      <c r="U4" s="198"/>
      <c r="V4" s="198"/>
      <c r="W4" s="198"/>
      <c r="X4" s="198"/>
      <c r="Y4" s="198"/>
      <c r="Z4" s="199"/>
      <c r="AA4" s="338"/>
      <c r="AB4" s="434" t="s">
        <v>80</v>
      </c>
      <c r="AC4" s="434"/>
      <c r="AD4" s="434"/>
      <c r="AE4" s="303"/>
      <c r="AF4" s="279"/>
      <c r="AG4" s="301"/>
      <c r="AH4" s="301" t="str">
        <f>CONCATENATE("Auxiliar - ",Q4)</f>
        <v>Auxiliar - Grupo A</v>
      </c>
      <c r="AI4" s="301"/>
      <c r="AJ4" s="301"/>
      <c r="AK4" s="301"/>
      <c r="AL4" s="301"/>
      <c r="AM4" s="301"/>
      <c r="AN4" s="301"/>
      <c r="AO4" s="301"/>
      <c r="AP4" s="301"/>
      <c r="AQ4" s="301"/>
      <c r="AR4" s="301"/>
      <c r="AS4" s="301"/>
      <c r="AT4" s="301"/>
      <c r="AU4" s="301" t="s">
        <v>52</v>
      </c>
      <c r="AV4" s="339" t="s">
        <v>36</v>
      </c>
      <c r="AW4" s="340">
        <f>AW5*100</f>
        <v>1000000000</v>
      </c>
      <c r="AX4" s="301"/>
      <c r="AY4" s="279" t="str">
        <f>CONCATENATE(Q4," - GOLAVERAGE")</f>
        <v>Grupo A - GOLAVERAGE</v>
      </c>
      <c r="AZ4" s="301"/>
      <c r="BA4" s="301"/>
      <c r="BB4" s="438" t="s">
        <v>30</v>
      </c>
      <c r="BC4" s="438"/>
      <c r="BD4" s="438"/>
      <c r="BE4" s="438"/>
      <c r="BF4" s="438"/>
      <c r="BG4" s="438"/>
      <c r="BH4" s="438" t="s">
        <v>29</v>
      </c>
      <c r="BI4" s="438"/>
      <c r="BJ4" s="438"/>
      <c r="BK4" s="438"/>
      <c r="BL4" s="438"/>
      <c r="BM4" s="438"/>
      <c r="BN4" s="318"/>
      <c r="BO4" s="318"/>
      <c r="BP4" s="318"/>
      <c r="BQ4" s="318"/>
      <c r="BR4" s="318"/>
      <c r="BS4" s="318"/>
      <c r="BT4" s="318"/>
      <c r="BU4" s="318"/>
      <c r="BV4" s="318"/>
      <c r="BW4" s="318"/>
      <c r="BX4" s="318"/>
      <c r="BY4" s="318"/>
      <c r="BZ4" s="318"/>
      <c r="CA4" s="318"/>
      <c r="CB4" s="301" t="s">
        <v>77</v>
      </c>
      <c r="CC4" s="301" t="s">
        <v>78</v>
      </c>
      <c r="CD4" s="301">
        <f ca="1">SUM(CD6:CD9)</f>
        <v>0</v>
      </c>
      <c r="CE4" s="301">
        <f t="shared" ref="CE4:DA4" ca="1" si="1">SUM(CE6:CE9)</f>
        <v>0</v>
      </c>
      <c r="CF4" s="301">
        <f t="shared" ca="1" si="1"/>
        <v>0</v>
      </c>
      <c r="CG4" s="301">
        <f t="shared" ca="1" si="1"/>
        <v>2</v>
      </c>
      <c r="CH4" s="301">
        <f t="shared" ca="1" si="1"/>
        <v>0</v>
      </c>
      <c r="CI4" s="301">
        <f t="shared" ca="1" si="1"/>
        <v>2</v>
      </c>
      <c r="CJ4" s="301">
        <f t="shared" ca="1" si="1"/>
        <v>2</v>
      </c>
      <c r="CK4" s="301">
        <f t="shared" ca="1" si="1"/>
        <v>4</v>
      </c>
      <c r="CL4" s="301">
        <f t="shared" ca="1" si="1"/>
        <v>0</v>
      </c>
      <c r="CM4" s="301">
        <f t="shared" ca="1" si="1"/>
        <v>0</v>
      </c>
      <c r="CN4" s="301">
        <f t="shared" ca="1" si="1"/>
        <v>0</v>
      </c>
      <c r="CO4" s="301">
        <f t="shared" ca="1" si="1"/>
        <v>1</v>
      </c>
      <c r="CP4" s="301">
        <f t="shared" ca="1" si="1"/>
        <v>1</v>
      </c>
      <c r="CQ4" s="301">
        <f t="shared" ca="1" si="1"/>
        <v>1</v>
      </c>
      <c r="CR4" s="301">
        <f t="shared" ca="1" si="1"/>
        <v>0</v>
      </c>
      <c r="CS4" s="301">
        <f t="shared" ca="1" si="1"/>
        <v>0</v>
      </c>
      <c r="CT4" s="301">
        <f t="shared" ca="1" si="1"/>
        <v>0</v>
      </c>
      <c r="CU4" s="301">
        <f t="shared" ca="1" si="1"/>
        <v>0</v>
      </c>
      <c r="CV4" s="301">
        <f t="shared" ca="1" si="1"/>
        <v>0</v>
      </c>
      <c r="CW4" s="301">
        <f t="shared" ca="1" si="1"/>
        <v>0</v>
      </c>
      <c r="CX4" s="301">
        <f t="shared" ca="1" si="1"/>
        <v>0</v>
      </c>
      <c r="CY4" s="301">
        <f t="shared" ca="1" si="1"/>
        <v>0</v>
      </c>
      <c r="CZ4" s="301">
        <f t="shared" si="1"/>
        <v>0</v>
      </c>
      <c r="DA4" s="301">
        <f t="shared" si="1"/>
        <v>0</v>
      </c>
      <c r="DB4" s="301"/>
      <c r="DC4" s="301"/>
      <c r="DD4" s="301"/>
      <c r="DE4" s="301"/>
      <c r="DF4" s="318">
        <v>1234</v>
      </c>
      <c r="DG4" s="318">
        <v>123</v>
      </c>
      <c r="DH4" s="318">
        <v>12</v>
      </c>
      <c r="DI4" s="318">
        <v>234</v>
      </c>
      <c r="DJ4" s="318">
        <v>34</v>
      </c>
      <c r="DK4" s="318">
        <v>23</v>
      </c>
      <c r="DL4" s="318">
        <v>1</v>
      </c>
      <c r="DM4" s="318">
        <v>2</v>
      </c>
      <c r="DN4" s="318">
        <v>3</v>
      </c>
      <c r="DO4" s="318">
        <v>4</v>
      </c>
      <c r="DP4" s="301"/>
      <c r="DQ4" s="301"/>
    </row>
    <row r="5" spans="1:121 3565:3565 6820:6820 11323:11323" s="321" customFormat="1" ht="15" thickBot="1">
      <c r="A5" s="352" t="str">
        <f t="array" aca="1" ref="A5" ca="1">IF(ROWS(A$5:A5)&lt;=$C$4,INDEX(INDIRECT(A$4),SMALL(IF(Nivell=$B$4,ROW(Nivell)-ROW(Equipos!$C$2)+1),ROWS(B$4:B4))),"")</f>
        <v>Brasil</v>
      </c>
      <c r="B5" s="353"/>
      <c r="C5" s="353"/>
      <c r="D5" s="286"/>
      <c r="E5" s="432"/>
      <c r="F5" s="174">
        <v>43631</v>
      </c>
      <c r="G5" s="175">
        <f t="shared" si="0"/>
        <v>43631.666666666664</v>
      </c>
      <c r="H5" s="174" t="s">
        <v>82</v>
      </c>
      <c r="I5" s="176" t="str">
        <f ca="1">A7</f>
        <v>Venezuela</v>
      </c>
      <c r="J5" s="177"/>
      <c r="K5" s="178">
        <v>0</v>
      </c>
      <c r="L5" s="178">
        <v>0</v>
      </c>
      <c r="M5" s="179"/>
      <c r="N5" s="188" t="str">
        <f ca="1">A8</f>
        <v>Perú</v>
      </c>
      <c r="O5" s="293">
        <f t="shared" ref="O5:O9" si="2">IF(NOT(OR(ISBLANK(K5),ISBLANK(L5))),1,0)</f>
        <v>1</v>
      </c>
      <c r="P5" s="291"/>
      <c r="Q5" s="200" t="s">
        <v>19</v>
      </c>
      <c r="R5" s="201" t="s">
        <v>170</v>
      </c>
      <c r="S5" s="202" t="s">
        <v>89</v>
      </c>
      <c r="T5" s="202" t="s">
        <v>6</v>
      </c>
      <c r="U5" s="202" t="s">
        <v>7</v>
      </c>
      <c r="V5" s="202" t="s">
        <v>3</v>
      </c>
      <c r="W5" s="202" t="s">
        <v>8</v>
      </c>
      <c r="X5" s="202" t="s">
        <v>9</v>
      </c>
      <c r="Y5" s="202" t="s">
        <v>10</v>
      </c>
      <c r="Z5" s="203" t="s">
        <v>167</v>
      </c>
      <c r="AA5" s="341">
        <f ca="1">COUNTIF(AA6:AA9,"&lt;100")</f>
        <v>0</v>
      </c>
      <c r="AB5" s="434"/>
      <c r="AC5" s="434"/>
      <c r="AD5" s="434"/>
      <c r="AE5" s="305"/>
      <c r="AF5" s="279"/>
      <c r="AG5" s="280" t="s">
        <v>52</v>
      </c>
      <c r="AH5" s="280" t="s">
        <v>14</v>
      </c>
      <c r="AI5" s="280" t="s">
        <v>5</v>
      </c>
      <c r="AJ5" s="280" t="s">
        <v>15</v>
      </c>
      <c r="AK5" s="280" t="s">
        <v>6</v>
      </c>
      <c r="AL5" s="280" t="s">
        <v>7</v>
      </c>
      <c r="AM5" s="280" t="s">
        <v>3</v>
      </c>
      <c r="AN5" s="280" t="s">
        <v>8</v>
      </c>
      <c r="AO5" s="280" t="s">
        <v>9</v>
      </c>
      <c r="AP5" s="280" t="s">
        <v>10</v>
      </c>
      <c r="AQ5" s="280" t="s">
        <v>12</v>
      </c>
      <c r="AR5" s="280" t="s">
        <v>16</v>
      </c>
      <c r="AS5" s="280" t="s">
        <v>14</v>
      </c>
      <c r="AT5" s="301"/>
      <c r="AU5" s="301"/>
      <c r="AV5" s="339" t="s">
        <v>42</v>
      </c>
      <c r="AW5" s="340">
        <f>AW6*100</f>
        <v>10000000</v>
      </c>
      <c r="AX5" s="301"/>
      <c r="AY5" s="280" t="s">
        <v>5</v>
      </c>
      <c r="AZ5" s="342" t="s">
        <v>31</v>
      </c>
      <c r="BA5" s="343" t="s">
        <v>34</v>
      </c>
      <c r="BB5" s="342" t="s">
        <v>33</v>
      </c>
      <c r="BC5" s="342" t="s">
        <v>28</v>
      </c>
      <c r="BD5" s="343" t="str">
        <f ca="1">AY6</f>
        <v>Brasil</v>
      </c>
      <c r="BE5" s="343" t="str">
        <f ca="1">AY7</f>
        <v>Bolivia</v>
      </c>
      <c r="BF5" s="343" t="str">
        <f ca="1">AY8</f>
        <v>Venezuela</v>
      </c>
      <c r="BG5" s="343" t="str">
        <f ca="1">AY9</f>
        <v>Perú</v>
      </c>
      <c r="BH5" s="342" t="s">
        <v>33</v>
      </c>
      <c r="BI5" s="342" t="s">
        <v>28</v>
      </c>
      <c r="BJ5" s="343" t="str">
        <f ca="1">BD5</f>
        <v>Brasil</v>
      </c>
      <c r="BK5" s="343" t="str">
        <f t="shared" ref="BK5:BM5" ca="1" si="3">BE5</f>
        <v>Bolivia</v>
      </c>
      <c r="BL5" s="343" t="str">
        <f t="shared" ca="1" si="3"/>
        <v>Venezuela</v>
      </c>
      <c r="BM5" s="343" t="str">
        <f t="shared" ca="1" si="3"/>
        <v>Perú</v>
      </c>
      <c r="BN5" s="318"/>
      <c r="BO5" s="344"/>
      <c r="BP5" s="344" t="s">
        <v>53</v>
      </c>
      <c r="BQ5" s="344"/>
      <c r="BR5" s="344" t="s">
        <v>54</v>
      </c>
      <c r="BS5" s="344"/>
      <c r="BT5" s="318"/>
      <c r="BU5" s="344"/>
      <c r="BV5" s="344" t="s">
        <v>5</v>
      </c>
      <c r="BW5" s="344" t="s">
        <v>15</v>
      </c>
      <c r="BX5" s="344" t="s">
        <v>73</v>
      </c>
      <c r="BY5" s="344" t="s">
        <v>12</v>
      </c>
      <c r="BZ5" s="344" t="s">
        <v>74</v>
      </c>
      <c r="CA5" s="318"/>
      <c r="CB5" s="301"/>
      <c r="CC5" s="301" t="s">
        <v>79</v>
      </c>
      <c r="CD5" s="301" t="s">
        <v>57</v>
      </c>
      <c r="CE5" s="301" t="s">
        <v>66</v>
      </c>
      <c r="CF5" s="301" t="s">
        <v>67</v>
      </c>
      <c r="CG5" s="301" t="s">
        <v>68</v>
      </c>
      <c r="CH5" s="301" t="s">
        <v>69</v>
      </c>
      <c r="CI5" s="301" t="s">
        <v>70</v>
      </c>
      <c r="CJ5" s="301" t="s">
        <v>71</v>
      </c>
      <c r="CK5" s="301" t="s">
        <v>72</v>
      </c>
      <c r="CL5" s="301" t="s">
        <v>67</v>
      </c>
      <c r="CM5" s="301" t="s">
        <v>67</v>
      </c>
      <c r="CN5" s="301" t="s">
        <v>68</v>
      </c>
      <c r="CO5" s="301" t="s">
        <v>71</v>
      </c>
      <c r="CP5" s="301" t="s">
        <v>70</v>
      </c>
      <c r="CQ5" s="301" t="s">
        <v>70</v>
      </c>
      <c r="CR5" s="301" t="s">
        <v>69</v>
      </c>
      <c r="CS5" s="301" t="s">
        <v>66</v>
      </c>
      <c r="CT5" s="301" t="s">
        <v>71</v>
      </c>
      <c r="CU5" s="301" t="s">
        <v>70</v>
      </c>
      <c r="CV5" s="301" t="s">
        <v>68</v>
      </c>
      <c r="CW5" s="301" t="s">
        <v>71</v>
      </c>
      <c r="CX5" s="301" t="s">
        <v>68</v>
      </c>
      <c r="CY5" s="301" t="s">
        <v>70</v>
      </c>
      <c r="CZ5" s="301"/>
      <c r="DA5" s="301"/>
      <c r="DB5" s="301"/>
      <c r="DC5" s="301"/>
      <c r="DD5" s="301"/>
      <c r="DE5" s="301"/>
      <c r="DF5" s="318">
        <v>1</v>
      </c>
      <c r="DG5" s="318">
        <v>1</v>
      </c>
      <c r="DH5" s="318">
        <v>1</v>
      </c>
      <c r="DI5" s="318">
        <v>2</v>
      </c>
      <c r="DJ5" s="318">
        <v>3</v>
      </c>
      <c r="DK5" s="318">
        <v>2</v>
      </c>
      <c r="DL5" s="318">
        <v>1</v>
      </c>
      <c r="DM5" s="318">
        <v>2</v>
      </c>
      <c r="DN5" s="318">
        <v>3</v>
      </c>
      <c r="DO5" s="318">
        <v>4</v>
      </c>
      <c r="DP5" s="301"/>
      <c r="DQ5" s="301"/>
    </row>
    <row r="6" spans="1:121 3565:3565 6820:6820 11323:11323" s="321" customFormat="1">
      <c r="A6" s="352" t="str">
        <f t="array" aca="1" ref="A6" ca="1">IF(ROWS(A$5:A6)&lt;=$C$4,INDEX(INDIRECT(A$4),SMALL(IF(Nivell=$B$4,ROW(Nivell)-ROW(Equipos!$C$2)+1),ROWS(B$4:B5))),"")</f>
        <v>Bolivia</v>
      </c>
      <c r="B6" s="353"/>
      <c r="C6" s="354"/>
      <c r="D6" s="286"/>
      <c r="E6" s="432"/>
      <c r="F6" s="174">
        <v>43634</v>
      </c>
      <c r="G6" s="175">
        <f t="shared" si="0"/>
        <v>43634.895833333336</v>
      </c>
      <c r="H6" s="174" t="s">
        <v>83</v>
      </c>
      <c r="I6" s="176" t="str">
        <f ca="1">A5</f>
        <v>Brasil</v>
      </c>
      <c r="J6" s="177"/>
      <c r="K6" s="178">
        <v>0</v>
      </c>
      <c r="L6" s="178">
        <v>0</v>
      </c>
      <c r="M6" s="179"/>
      <c r="N6" s="188" t="str">
        <f ca="1">A7</f>
        <v>Venezuela</v>
      </c>
      <c r="O6" s="293">
        <f t="shared" si="2"/>
        <v>1</v>
      </c>
      <c r="P6" s="291"/>
      <c r="Q6" s="204">
        <v>1</v>
      </c>
      <c r="R6" s="205" t="str">
        <f ca="1">VLOOKUP(Q6,$AG$6:$AI$9,3,0)</f>
        <v>Brasil</v>
      </c>
      <c r="S6" s="206">
        <f ca="1">VLOOKUP(R6,$AI$6:$AR$9,2,FALSE)</f>
        <v>7</v>
      </c>
      <c r="T6" s="206">
        <f ca="1">VLOOKUP($R6,$AI$6:$AR$9,3,FALSE)</f>
        <v>3</v>
      </c>
      <c r="U6" s="206">
        <f ca="1">VLOOKUP($R6,$AI$6:$AR$9,4,FALSE)</f>
        <v>2</v>
      </c>
      <c r="V6" s="206">
        <f ca="1">VLOOKUP($R6,$AI$6:$AR$9,5,FALSE)</f>
        <v>1</v>
      </c>
      <c r="W6" s="206">
        <f ca="1">VLOOKUP($R6,$AI$6:$AR$9,6,FALSE)</f>
        <v>0</v>
      </c>
      <c r="X6" s="206">
        <f ca="1">VLOOKUP($R6,$AI$6:$AR$9,7,FALSE)</f>
        <v>8</v>
      </c>
      <c r="Y6" s="206">
        <f ca="1">VLOOKUP($R6,$AI$6:$AR$9,8,FALSE)</f>
        <v>0</v>
      </c>
      <c r="Z6" s="207">
        <f ca="1">VLOOKUP($R6,$AI$6:$AR$9,9,FALSE)</f>
        <v>8</v>
      </c>
      <c r="AA6" s="297">
        <f ca="1">IF(SUM($AK$6:$AK$9)=12,MIN(ABS(BS5-BS6),ABS(BS6-BS7)),100)</f>
        <v>2060500000.0199995</v>
      </c>
      <c r="AB6" s="345" t="str">
        <f ca="1">IF(AND(AA6&gt;=0,AA6&lt;90),VLOOKUP(Q6,$BO$6:$BP$9,2,0),"")</f>
        <v/>
      </c>
      <c r="AC6" s="346"/>
      <c r="AD6" s="297"/>
      <c r="AE6" s="297"/>
      <c r="AF6" s="279">
        <f ca="1">VLOOKUP($R6,$AI$6:$AR$9,10,FALSE)</f>
        <v>7080810999.9899998</v>
      </c>
      <c r="AG6" s="301">
        <f ca="1">RANK(AU6,$AU$6:$AU$9)</f>
        <v>1</v>
      </c>
      <c r="AH6" s="301">
        <f ca="1">RANK(AR6,$AR$6:$AR$9)</f>
        <v>1</v>
      </c>
      <c r="AI6" s="318" t="str">
        <f ca="1">A5</f>
        <v>Brasil</v>
      </c>
      <c r="AJ6" s="301">
        <f ca="1">AL6*3+AM6*1+AN6*0</f>
        <v>7</v>
      </c>
      <c r="AK6" s="301">
        <f ca="1">COUNTIFS($I$4:$I$9,AI6,$K$4:$K$9,"&lt;&gt;",$L$4:$L$9,"&lt;&gt;")+COUNTIFS($N$4:$N$9,AI6,$L$4:$L$9,"&lt;&gt;",$K$4:$K$9,"&lt;&gt;")</f>
        <v>3</v>
      </c>
      <c r="AL6" s="301">
        <f t="array" aca="1" ref="AL6" ca="1">SUM((I$4:I$9=AI6)*(K$4:K$9&lt;&gt;"")*(L$4:L$9&lt;&gt;"")*(K$4:K$9&gt;L$4:L$9),(N$4:N$9=AI6)*(K$4:K$9&lt;&gt;"")*(L$4:L$9&lt;&gt;"")*(K$4:K$9&lt;L$4:L$9))</f>
        <v>2</v>
      </c>
      <c r="AM6" s="301">
        <f t="array" aca="1" ref="AM6" ca="1">SUM((I$4:I$9=AI6)*(K$4:K$9&lt;&gt;"")*(L$4:L$9&lt;&gt;"")*(K$4:K$9=L$4:L$9),(N$4:N$9=AI6)*(K$4:K$9&lt;&gt;"")*(L$4:L$9&lt;&gt;"")*(K$4:K$9=L$4:L$9))</f>
        <v>1</v>
      </c>
      <c r="AN6" s="301">
        <f t="array" aca="1" ref="AN6" ca="1">SUM((I$4:I$9=AI6)*(L$4:L$9&lt;&gt;"")*(K$4:K$9&lt;&gt;"")*(K$4:K$9&lt;L$4:L$9),(K$4:K$9&lt;&gt;"")*(N$4:N$9=AI6)*(L$4:L$9&lt;&gt;"")*(K$4:K$9&gt;L$4:L$9))</f>
        <v>0</v>
      </c>
      <c r="AO6" s="301">
        <f t="array" aca="1" ref="AO6" ca="1">SUMIFS($K$4:$K$9,$I$4:$I$9,AI6,$K$4:$K$9,"&lt;&gt;",$L$4:$L$9,"&lt;&gt;")+SUMIFS($L$4:$L$9,$N$4:$N$9,AI6,$K$4:$K$9,"&lt;&gt;",$L$4:$L$9,"&lt;&gt;")</f>
        <v>8</v>
      </c>
      <c r="AP6" s="301">
        <f t="array" aca="1" ref="AP6" ca="1">SUMIFS($K$4:$K$9,$N$4:$N$9,AI6,$K$4:$K$9,"&lt;&gt;",$L$4:$L$9,"&lt;&gt;")+SUMIFS($L$4:$L$9,$I$4:$I$9,AI6,$K$4:$K$9,"&lt;&gt;",$L$4:$L$9,"&lt;&gt;")</f>
        <v>0</v>
      </c>
      <c r="AQ6" s="301">
        <f ca="1">AO6-AP6</f>
        <v>8</v>
      </c>
      <c r="AR6" s="301">
        <f ca="1">IF(AK6=0,-($AW$9*VLOOKUP(AI6,Tabla3[[NombreEquipo]:[Rank]],3,FALSE)),AJ6*$AW$4+AQ6*$AW$5+AO6*$AW$6+BA6-($AW$9*VLOOKUP(AI6,Tabla3[[NombreEquipo]:[Rank]],3,FALSE)/100))</f>
        <v>7080810999.9899998</v>
      </c>
      <c r="AS6" s="301">
        <f ca="1">AH6</f>
        <v>1</v>
      </c>
      <c r="AT6" s="301"/>
      <c r="AU6" s="301">
        <f ca="1">IFERROR(AR6-VLOOKUP(AI6,$AB$6:$AC$9,2,0),AR6)</f>
        <v>7080810999.9899998</v>
      </c>
      <c r="AV6" s="339" t="s">
        <v>35</v>
      </c>
      <c r="AW6" s="340">
        <f>AW8*100</f>
        <v>100000</v>
      </c>
      <c r="AX6" s="301"/>
      <c r="AY6" s="347" t="str">
        <f ca="1">AI6</f>
        <v>Brasil</v>
      </c>
      <c r="AZ6" s="301">
        <f ca="1">COUNTIF(AJ6:AJ9,AJ6)</f>
        <v>1</v>
      </c>
      <c r="BA6" s="301">
        <f ca="1">(BB6*$AW$8)+(BH6*$AW$7)</f>
        <v>11000</v>
      </c>
      <c r="BB6" s="348">
        <f ca="1">RANK(BC6,BC6:BC9,1)</f>
        <v>1</v>
      </c>
      <c r="BC6" s="348">
        <f ca="1">SUM(IF(AND(AJ6=AJ7,AQ6=AQ7,AO6=AO7),BE6,0),IF(AND(AJ6=AJ8,AQ6=AQ8,AO6=AO8),BF6,0),IF(AND(AJ6=AJ9,AQ6=AQ9,AO6=AO9),BG6,0))</f>
        <v>0</v>
      </c>
      <c r="BD6" s="348">
        <v>0</v>
      </c>
      <c r="BE6" s="348">
        <f t="array" aca="1" ref="BE6" ca="1">SUMIFS($K$4:$K$9,$I$4:$I$9,$AY6,$K$4:$K$9,"&lt;&gt;",$L$4:$L$9,"&lt;&gt;",$N$4:$N$9,BE5)+SUMIFS($L$4:$L$9,$I$4:$I$9,BE5,$K$4:$K$9,"&lt;&gt;",$L$4:$L$9,"&lt;&gt;",$N$4:$N$9,$AY6)</f>
        <v>3</v>
      </c>
      <c r="BF6" s="348">
        <f t="array" aca="1" ref="BF6" ca="1">SUMIFS($K$4:$K$9,$I$4:$I$9,$AY6,$K$4:$K$9,"&lt;&gt;",$L$4:$L$9,"&lt;&gt;",$N$4:$N$9,BF5)+SUMIFS($L$4:$L$9,$I$4:$I$9,BF5,$K$4:$K$9,"&lt;&gt;",$L$4:$L$9,"&lt;&gt;",$N$4:$N$9,$AY6)</f>
        <v>0</v>
      </c>
      <c r="BG6" s="348">
        <f t="array" aca="1" ref="BG6" ca="1">SUMIFS($K$4:$K$9,$I$4:$I$9,$AY6,$K$4:$K$9,"&lt;&gt;",$L$4:$L$9,"&lt;&gt;",$N$4:$N$9,BG5)+SUMIFS($L$4:$L$9,$I$4:$I$9,BG5,$K$4:$K$9,"&lt;&gt;",$L$4:$L$9,"&lt;&gt;",$N$4:$N$9,$AY6)</f>
        <v>5</v>
      </c>
      <c r="BH6" s="348">
        <f ca="1">RANK(BI6,BI6:BI9,1)</f>
        <v>1</v>
      </c>
      <c r="BI6" s="348">
        <f ca="1">SUM(IF(AND(AJ6=AJ7,AQ6=AQ7,AO6=AO7),BK6,0),IF(AND(AJ6=AJ8,AQ6=AQ8,AO6=AO8),BL6,0),IF(AND(AJ6=AJ9,AQ6=AQ9,AO6=AO9),BM6,0))</f>
        <v>0</v>
      </c>
      <c r="BJ6" s="348">
        <v>0</v>
      </c>
      <c r="BK6" s="348">
        <f ca="1">BE6-BD7</f>
        <v>3</v>
      </c>
      <c r="BL6" s="348">
        <f ca="1">BF6-BD8</f>
        <v>0</v>
      </c>
      <c r="BM6" s="348">
        <f ca="1">BG6-BD9</f>
        <v>5</v>
      </c>
      <c r="BN6" s="318">
        <v>1</v>
      </c>
      <c r="BO6" s="318">
        <f ca="1">RANK(BQ6,$BQ$6:$BQ$9)</f>
        <v>1</v>
      </c>
      <c r="BP6" s="318" t="str">
        <f ca="1">A5</f>
        <v>Brasil</v>
      </c>
      <c r="BQ6" s="318">
        <f ca="1">IF(AK6=0,-($AW$9*VLOOKUP(AI6,Tabla3[[NombreEquipo]:[Rank]],3,FALSE)),AJ6*$AW$4+AQ6*$AW$5+AO6*$AW$6+BA6-($AW$9*VLOOKUP(AI6,Tabla3[[NombreEquipo]:[Rank]],3,FALSE)/100))</f>
        <v>7080810999.9899998</v>
      </c>
      <c r="BR6" s="318" t="str">
        <f ca="1">VLOOKUP(Q6,$AH$6:$AI$9,2,0)</f>
        <v>Brasil</v>
      </c>
      <c r="BS6" s="318">
        <f ca="1">VLOOKUP($BR6,$AI$6:$AR$9,10,FALSE)</f>
        <v>7080810999.9899998</v>
      </c>
      <c r="BT6" s="318"/>
      <c r="BU6" s="318">
        <v>1</v>
      </c>
      <c r="BV6" s="318" t="str">
        <f ca="1">VLOOKUP(BU6,$AH$6:$AI$9,2,0)</f>
        <v>Brasil</v>
      </c>
      <c r="BW6" s="318">
        <f ca="1">VLOOKUP(BV6,$AI$6:$AR$9,2,FALSE)</f>
        <v>7</v>
      </c>
      <c r="BX6" s="349">
        <f ca="1">IF(SUM($AK$6:$AK$9)=12,MIN(ABS(BS5-BS6),ABS(BS6-BS7)),100)</f>
        <v>2060500000.0199995</v>
      </c>
      <c r="BY6" s="318">
        <f ca="1">VLOOKUP($BV6,$AI$6:$AR$9,9,FALSE)</f>
        <v>8</v>
      </c>
      <c r="BZ6" s="318">
        <f ca="1">VLOOKUP($BV6,$AI$6:$AR$9,7,FALSE)</f>
        <v>8</v>
      </c>
      <c r="CA6" s="318">
        <f t="array" aca="1" ref="CA6" ca="1">IF($CB$6=$CD$5,$DF$5:$DF$8,IF($CB$6=$CE$5,$DG$5:$DG$7,IF(OR($CB$6=$CF$5,$CB$6=$CG$5),$DH$5:$DH$6,$DL$5)))</f>
        <v>1</v>
      </c>
      <c r="CB6" s="301" t="str">
        <f ca="1">IFERROR(HLOOKUP(4,CD4:DA5,2,0),CK5)</f>
        <v>COM_8</v>
      </c>
      <c r="CC6" s="301">
        <v>1</v>
      </c>
      <c r="CD6" s="301">
        <f t="array" aca="1" ref="CD6" ca="1">IF(AND($BW$6:$BW$9=$BW$6,$BX$6:$BX$9&lt;90,$AQ$6:$AQ$9=$AQ$6,$BZ$6:$BZ$9=$BZ$6),1,0)</f>
        <v>0</v>
      </c>
      <c r="CE6" s="301">
        <f t="array" aca="1" ref="CE6" ca="1">IF(AND($BW$6:$BW$8=$BW$6,$BX$6:$BX$8&lt;90,$BW$6&lt;&gt;$BW$9),1,0)</f>
        <v>0</v>
      </c>
      <c r="CF6" s="301">
        <f t="array" aca="1" ref="CF6" ca="1">IF(AND($BW$6:$BW$7=$BW$6,$BX$6:$BX$7&lt;90,$BW$6&lt;&gt;$BW$8),1,0)</f>
        <v>0</v>
      </c>
      <c r="CG6" s="301">
        <f t="array" aca="1" ref="CG6" ca="1">IF(AND($BW$6:$BW$7=$BW$6,$BX$6:$BX$7&lt;90,$BW$6&lt;&gt;$BW$8),1,0)</f>
        <v>0</v>
      </c>
      <c r="CH6" s="301">
        <f t="array" aca="1" ref="CH6" ca="1">IF(AND($BW$7:$BW$9=$BW$7,$BX$7:$BX$9&lt;90,$BW$6&lt;&gt;$BW$7),1,0)</f>
        <v>0</v>
      </c>
      <c r="CI6" s="301">
        <f t="array" aca="1" ref="CI6" ca="1">IF(AND($BW$6&lt;&gt;$BW$7,$BW$6&lt;&gt;$BW$9),1,0)</f>
        <v>1</v>
      </c>
      <c r="CJ6" s="301">
        <f t="array" aca="1" ref="CJ6" ca="1">IF(AND($BW$6&lt;&gt;$BW$7,$BW$6&lt;&gt;$BW$9),1,0)</f>
        <v>1</v>
      </c>
      <c r="CK6" s="301">
        <f t="array" aca="1" ref="CK6" ca="1">IF(AND($BW$6&lt;&gt;$BW$7,$BW$6&lt;&gt;$BW$9),1,0)</f>
        <v>1</v>
      </c>
      <c r="CL6" s="301">
        <f t="array" aca="1" ref="CL6" ca="1">IF(AND($BW$6:$BW$9=$BW$6,$BX$6:$BX$9&lt;90,$BY$6:$BY$7=$BY$6,$BY$6&lt;&gt;$BY$8),1,0)</f>
        <v>0</v>
      </c>
      <c r="CM6" s="301">
        <f t="array" aca="1" ref="CM6" ca="1">IF(AND($BW$6:$BW$9=$BW$6,$BX$6:$BX$9&lt;90,$BY$6:$BY$9=$BY$6,$BZ$6=$BZ$7,$BZ$6&lt;&gt;$BZ$8),1,0)</f>
        <v>0</v>
      </c>
      <c r="CN6" s="301">
        <f t="array" aca="1" ref="CN6" ca="1">IF(AND($BW$6:$BW$8=$BW$6,$BX$6:$BX$7&lt;90,$BX$8&gt;90),1,0)</f>
        <v>0</v>
      </c>
      <c r="CO6" s="301">
        <f t="array" aca="1" ref="CO6" ca="1">IF(AND($BW$6&lt;&gt;$BW$7,$BW$6&lt;&gt;$BW$8),1,0)</f>
        <v>1</v>
      </c>
      <c r="CP6" s="301">
        <f t="array" aca="1" ref="CP6" ca="1">IF(AND($BW$6&lt;&gt;$BW$7,$BW$6&lt;&gt;$BW$8),1,0)</f>
        <v>1</v>
      </c>
      <c r="CQ6" s="301">
        <f t="array" aca="1" ref="CQ6" ca="1">IF(AND($BW$6&lt;&gt;$BW$9,$BW$6:$BW$8=$BW$6,$BX$6&gt;90,$BX$7:$BX$8&lt;90),1,0)</f>
        <v>0</v>
      </c>
      <c r="CR6" s="301">
        <f t="array" aca="1" ref="CR6" ca="1">IF(AND($BW$6:$BW$9=$BW$6,$BX$7:$BX$9&lt;90,$BX$6&lt;&gt;$BX$7),1,0)</f>
        <v>0</v>
      </c>
      <c r="CS6" s="301">
        <f t="array" aca="1" ref="CS6" ca="1">IF(AND($BW$6:$BW$9=$BW$6,$BX$6:$BX$8&lt;90,$BX$6&lt;&gt;$BX$9),1,0)</f>
        <v>0</v>
      </c>
      <c r="CT6" s="301">
        <f t="array" aca="1" ref="CT6" ca="1">IF(AND($BW$6:$BW$9=$BW$6,$BX$6:$BX$7&gt;90,$BX$8:$BX$9&lt;90,$BY$6:$BY$9=$BY$6,$BZ$6&gt;$BZ$7,$BZ$6&gt;$BZ$8,$BZ$6&gt;$BZ$9),1,0)</f>
        <v>0</v>
      </c>
      <c r="CU6" s="301">
        <f t="array" aca="1" ref="CU6" ca="1">IF(AND($BW$6:$BW$9=$BW$6,$BX$6&gt;90,$BX$7:$BX$8&lt;90,$BX$9&gt;90,$BY$6:$BY$9=$BY$6,$BZ$6&gt;$BZ$7,$BZ$6&gt;$BZ$8,$BZ$6&gt;$BZ$9),1,0)</f>
        <v>0</v>
      </c>
      <c r="CV6" s="301">
        <f t="array" aca="1" ref="CV6" ca="1">IF(AND($BW$6:$BW$9=$BW$6,$BX$6:$BX$7&lt;90,$BX$8:$BX$9&gt;90,$BY$6:$BY$9=$BY$6,$BZ$6=$BZ$7,$BZ$6&gt;$BZ$8,$BZ$6&gt;$BZ$9),1,0)</f>
        <v>0</v>
      </c>
      <c r="CW6" s="301">
        <f t="array" aca="1" ref="CW6" ca="1">IF(AND($BW$6:$BW$9=$BW$6,$BX$6:$BX$7&gt;90,$BX$8:$BX$9&lt;90,$BY$6:$BY$9=$BY$6,$BZ$6&gt;$BZ$7,$BZ$7:$BZ$9=$BZ$7),1,0)</f>
        <v>0</v>
      </c>
      <c r="CX6" s="301">
        <f t="array" aca="1" ref="CX6" ca="1">IF(AND($BW$6:$BW$9=$BW$6,$BX$6:$BX$7&lt;90,$BX$8:$BX$9&gt;90,$BY$6:$BY$9=$BY$6,$BZ$6:$BZ$8=$BZ$6,$BZ$6&gt;$BZ$9),1,0)</f>
        <v>0</v>
      </c>
      <c r="CY6" s="301">
        <f t="array" aca="1" ref="CY6" ca="1">IF(AND($BW$6:$BW$9=$BW$6,$BX$6&gt;90,$BX$9&gt;90,$BX$7:$BX$8&lt;90,$BY$6:$BY$9=$BY$6,$BZ$6&gt;$BZ$7:$BZ$9),1,0)</f>
        <v>0</v>
      </c>
      <c r="CZ6" s="301"/>
      <c r="DA6" s="301"/>
      <c r="DB6" s="301"/>
      <c r="DC6" s="301"/>
      <c r="DD6" s="301"/>
      <c r="DE6" s="301"/>
      <c r="DF6" s="318">
        <v>2</v>
      </c>
      <c r="DG6" s="318">
        <v>2</v>
      </c>
      <c r="DH6" s="318">
        <v>2</v>
      </c>
      <c r="DI6" s="318">
        <v>3</v>
      </c>
      <c r="DJ6" s="318">
        <v>4</v>
      </c>
      <c r="DK6" s="318">
        <v>3</v>
      </c>
      <c r="DL6" s="318"/>
      <c r="DM6" s="318"/>
      <c r="DN6" s="318"/>
      <c r="DO6" s="318"/>
      <c r="DP6" s="301"/>
      <c r="DQ6" s="301"/>
    </row>
    <row r="7" spans="1:121 3565:3565 6820:6820 11323:11323" s="321" customFormat="1">
      <c r="A7" s="352" t="str">
        <f t="array" aca="1" ref="A7" ca="1">IF(ROWS(A$5:A7)&lt;=$C$4,INDEX(INDIRECT(A$4),SMALL(IF(Nivell=$B$4,ROW(Nivell)-ROW(Equipos!$C$2)+1),ROWS(B$4:B6))),"")</f>
        <v>Venezuela</v>
      </c>
      <c r="B7" s="353"/>
      <c r="C7" s="286"/>
      <c r="D7" s="286"/>
      <c r="E7" s="432"/>
      <c r="F7" s="174">
        <v>43634</v>
      </c>
      <c r="G7" s="175">
        <f t="shared" si="0"/>
        <v>43634.770833333336</v>
      </c>
      <c r="H7" s="174" t="s">
        <v>83</v>
      </c>
      <c r="I7" s="176" t="str">
        <f ca="1">A6</f>
        <v>Bolivia</v>
      </c>
      <c r="J7" s="177"/>
      <c r="K7" s="178">
        <v>1</v>
      </c>
      <c r="L7" s="178">
        <v>3</v>
      </c>
      <c r="M7" s="180"/>
      <c r="N7" s="188" t="str">
        <f ca="1">A8</f>
        <v>Perú</v>
      </c>
      <c r="O7" s="293">
        <f t="shared" si="2"/>
        <v>1</v>
      </c>
      <c r="P7" s="291"/>
      <c r="Q7" s="208">
        <v>2</v>
      </c>
      <c r="R7" s="9" t="str">
        <f ca="1">VLOOKUP(Q7,$AG$6:$AI$9,3,0)</f>
        <v>Venezuela</v>
      </c>
      <c r="S7" s="8">
        <f ca="1">VLOOKUP(R7,$AI$6:$AR$9,2,FALSE)</f>
        <v>5</v>
      </c>
      <c r="T7" s="8">
        <f ca="1">VLOOKUP($R7,$AI$6:$AR$9,3,FALSE)</f>
        <v>3</v>
      </c>
      <c r="U7" s="8">
        <f ca="1">VLOOKUP($R7,$AI$6:$AR$9,4,FALSE)</f>
        <v>1</v>
      </c>
      <c r="V7" s="8">
        <f ca="1">VLOOKUP($R7,$AI$6:$AR$9,5,FALSE)</f>
        <v>2</v>
      </c>
      <c r="W7" s="8">
        <f ca="1">VLOOKUP($R7,$AI$6:$AR$9,6,FALSE)</f>
        <v>0</v>
      </c>
      <c r="X7" s="8">
        <f ca="1">VLOOKUP($R7,$AI$6:$AR$9,7,FALSE)</f>
        <v>3</v>
      </c>
      <c r="Y7" s="8">
        <f ca="1">VLOOKUP($R7,$AI$6:$AR$9,8,FALSE)</f>
        <v>1</v>
      </c>
      <c r="Z7" s="209">
        <f ca="1">VLOOKUP($R7,$AI$6:$AR$9,9,FALSE)</f>
        <v>2</v>
      </c>
      <c r="AA7" s="297">
        <f ca="1">IF(SUM($AK$6:$AK$9)=12,MIN(ABS(BS6-BS7),ABS(BS7-BS8)),100)</f>
        <v>1050000000.0100002</v>
      </c>
      <c r="AB7" s="345" t="str">
        <f ca="1">IF(AND(AA7&gt;=0,AA7&lt;90),VLOOKUP(Q7,$BO$6:$BP$9,2,0),"")</f>
        <v/>
      </c>
      <c r="AC7" s="350"/>
      <c r="AD7" s="351"/>
      <c r="AE7" s="351"/>
      <c r="AF7" s="279">
        <f ca="1">VLOOKUP($R7,$AI$6:$AR$9,10,FALSE)</f>
        <v>5020310999.9700003</v>
      </c>
      <c r="AG7" s="301">
        <f t="shared" ref="AG7:AG9" ca="1" si="4">RANK(AU7,$AU$6:$AU$9)</f>
        <v>4</v>
      </c>
      <c r="AH7" s="301">
        <f ca="1">RANK(AR7,$AR$6:$AR$9)</f>
        <v>4</v>
      </c>
      <c r="AI7" s="318" t="str">
        <f ca="1">A6</f>
        <v>Bolivia</v>
      </c>
      <c r="AJ7" s="301">
        <f ca="1">AL7*3+AM7*1+AN7*0</f>
        <v>0</v>
      </c>
      <c r="AK7" s="301">
        <f ca="1">COUNTIFS($I$4:$I$9,AI7,$K$4:$K$9,"&lt;&gt;",$L$4:$L$9,"&lt;&gt;")+COUNTIFS($N$4:$N$9,AI7,$L$4:$L$9,"&lt;&gt;",$K$4:$K$9,"&lt;&gt;")</f>
        <v>3</v>
      </c>
      <c r="AL7" s="301">
        <f t="array" aca="1" ref="AL7" ca="1">SUM((I$4:I$9=AI7)*(K$4:K$9&lt;&gt;"")*(L$4:L$9&lt;&gt;"")*(K$4:K$9&gt;L$4:L$9),(N$4:N$9=AI7)*(K$4:K$9&lt;&gt;"")*(L$4:L$9&lt;&gt;"")*(K$4:K$9&lt;L$4:L$9))</f>
        <v>0</v>
      </c>
      <c r="AM7" s="301">
        <f t="array" aca="1" ref="AM7" ca="1">SUM((I$4:I$9=AI7)*(K$4:K$9&lt;&gt;"")*(L$4:L$9&lt;&gt;"")*(K$4:K$9=L$4:L$9),(N$4:N$9=AI7)*(K$4:K$9&lt;&gt;"")*(L$4:L$9&lt;&gt;"")*(K$4:K$9=L$4:L$9))</f>
        <v>0</v>
      </c>
      <c r="AN7" s="301">
        <f t="array" aca="1" ref="AN7" ca="1">SUM((I$4:I$9=AI7)*(L$4:L$9&lt;&gt;"")*(K$4:K$9&lt;&gt;"")*(K$4:K$9&lt;L$4:L$9),(K$4:K$9&lt;&gt;"")*(N$4:N$9=AI7)*(L$4:L$9&lt;&gt;"")*(K$4:K$9&gt;L$4:L$9))</f>
        <v>3</v>
      </c>
      <c r="AO7" s="301">
        <f t="array" aca="1" ref="AO7" ca="1">SUMIFS($K$4:$K$9,$I$4:$I$9,AI7,$K$4:$K$9,"&lt;&gt;",$L$4:$L$9,"&lt;&gt;")+SUMIFS($L$4:$L$9,$N$4:$N$9,AI7,$K$4:$K$9,"&lt;&gt;",$L$4:$L$9,"&lt;&gt;")</f>
        <v>2</v>
      </c>
      <c r="AP7" s="301">
        <f t="array" aca="1" ref="AP7" ca="1">SUMIFS($K$4:$K$9,$N$4:$N$9,AI7,$K$4:$K$9,"&lt;&gt;",$L$4:$L$9,"&lt;&gt;")+SUMIFS($L$4:$L$9,$I$4:$I$9,AI7,$K$4:$K$9,"&lt;&gt;",$L$4:$L$9,"&lt;&gt;")</f>
        <v>9</v>
      </c>
      <c r="AQ7" s="301">
        <f ca="1">AO7-AP7</f>
        <v>-7</v>
      </c>
      <c r="AR7" s="301">
        <f ca="1">IF(AK7=0,-($AW$9*VLOOKUP(AI7,Tabla3[[NombreEquipo]:[Rank]],3,FALSE)),AJ7*$AW$4+AQ7*$AW$5+AO7*$AW$6+BA7-($AW$9*VLOOKUP(AI7,Tabla3[[NombreEquipo]:[Rank]],3,FALSE)/100))</f>
        <v>-69789000.019999996</v>
      </c>
      <c r="AS7" s="301">
        <f ca="1">AH7</f>
        <v>4</v>
      </c>
      <c r="AT7" s="301"/>
      <c r="AU7" s="301">
        <f ca="1">IFERROR(AR7-VLOOKUP(AI7,$AB$6:$AC$9,2,0),AR7)</f>
        <v>-69789000.019999996</v>
      </c>
      <c r="AV7" s="339" t="s">
        <v>50</v>
      </c>
      <c r="AW7" s="340">
        <f>AW8*10</f>
        <v>10000</v>
      </c>
      <c r="AX7" s="301"/>
      <c r="AY7" s="347" t="str">
        <f ca="1">AI7</f>
        <v>Bolivia</v>
      </c>
      <c r="AZ7" s="301">
        <f ca="1">COUNTIF(AJ6:AJ9,AJ7)</f>
        <v>1</v>
      </c>
      <c r="BA7" s="301">
        <f ca="1">(BB7*$AW$8)+(BH7*$AW$7)</f>
        <v>11000</v>
      </c>
      <c r="BB7" s="348">
        <f ca="1">RANK(BC7,BC6:BC9,1)</f>
        <v>1</v>
      </c>
      <c r="BC7" s="348">
        <f ca="1">SUM(IF(AND(AJ7=AJ8,AQ7=AQ8,AO7=AO8),BF7,0),IF(AND(AJ7=AJ9,AQ7=AQ9,AO7=AO9),BG7,0),IF(AND(AJ7=AJ6,AQ7=AQ6,AO7=AO6),BD7,0))</f>
        <v>0</v>
      </c>
      <c r="BD7" s="348">
        <f t="array" aca="1" ref="BD7" ca="1">SUMIFS($K$4:$K$9,$I$4:$I$9,$AY7,$K$4:$K$9,"&lt;&gt;",$L$4:$L$9,"&lt;&gt;",$N$4:$N$9,BD5)+SUMIFS($L$4:$L$9,$I$4:$I$9,BD5,$K$4:$K$9,"&lt;&gt;",$L$4:$L$9,"&lt;&gt;",$N$4:$N$9,$AY7)</f>
        <v>0</v>
      </c>
      <c r="BE7" s="348">
        <v>0</v>
      </c>
      <c r="BF7" s="348">
        <f t="array" aca="1" ref="BF7" ca="1">SUMIFS($K$4:$K$9,$I$4:$I$9,$AY7,$K$4:$K$9,"&lt;&gt;",$L$4:$L$9,"&lt;&gt;",$N$4:$N$9,BF5)+SUMIFS($L$4:$L$9,$I$4:$I$9,BF5,$K$4:$K$9,"&lt;&gt;",$L$4:$L$9,"&lt;&gt;",$N$4:$N$9,$AY7)</f>
        <v>1</v>
      </c>
      <c r="BG7" s="348">
        <f t="array" aca="1" ref="BG7" ca="1">SUMIFS($K$4:$K$9,$I$4:$I$9,$AY7,$K$4:$K$9,"&lt;&gt;",$L$4:$L$9,"&lt;&gt;",$N$4:$N$9,BG5)+SUMIFS($L$4:$L$9,$I$4:$I$9,BG5,$K$4:$K$9,"&lt;&gt;",$L$4:$L$9,"&lt;&gt;",$N$4:$N$9,$AY7)</f>
        <v>1</v>
      </c>
      <c r="BH7" s="348">
        <f ca="1">RANK(BI7,BI6:BI9,1)</f>
        <v>1</v>
      </c>
      <c r="BI7" s="348">
        <f ca="1">SUM(IF(AND(AJ7=AJ8,AQ7=AQ8,AO7=AO8),BL7,0),IF(AND(AJ7=AJ9,AQ7=AQ9,AO7=AO9),BM7,0),IF(AND(AJ7=AJ6,AQ7=AQ6,AO7=AO6),BJ7,0))</f>
        <v>0</v>
      </c>
      <c r="BJ7" s="348">
        <f ca="1">BD7-BE6</f>
        <v>-3</v>
      </c>
      <c r="BK7" s="348">
        <v>0</v>
      </c>
      <c r="BL7" s="348">
        <f ca="1">BF7-BE8</f>
        <v>-2</v>
      </c>
      <c r="BM7" s="348">
        <f ca="1">BG7-BE9</f>
        <v>-2</v>
      </c>
      <c r="BN7" s="318">
        <v>2</v>
      </c>
      <c r="BO7" s="318">
        <f t="shared" ref="BO7:BO9" ca="1" si="5">RANK(BQ7,$BQ$6:$BQ$9)</f>
        <v>4</v>
      </c>
      <c r="BP7" s="318" t="str">
        <f ca="1">A6</f>
        <v>Bolivia</v>
      </c>
      <c r="BQ7" s="318">
        <f ca="1">IF(AK7=0,-($AW$9*VLOOKUP(AI7,Tabla3[[NombreEquipo]:[Rank]],3,FALSE)),AJ7*$AW$4+AQ7*$AW$5+AO7*$AW$6+BA7-($AW$9*VLOOKUP(AI7,Tabla3[[NombreEquipo]:[Rank]],3,FALSE)/100))</f>
        <v>-69789000.019999996</v>
      </c>
      <c r="BR7" s="318" t="str">
        <f ca="1">VLOOKUP(Q7,$AH$6:$AI$9,2,0)</f>
        <v>Venezuela</v>
      </c>
      <c r="BS7" s="318">
        <f t="shared" ref="BS7:BS9" ca="1" si="6">VLOOKUP($BR7,$AI$6:$AR$9,10,FALSE)</f>
        <v>5020310999.9700003</v>
      </c>
      <c r="BT7" s="318"/>
      <c r="BU7" s="318">
        <v>2</v>
      </c>
      <c r="BV7" s="318" t="str">
        <f t="shared" ref="BV7:BV9" ca="1" si="7">VLOOKUP(BU7,$AH$6:$AI$9,2,0)</f>
        <v>Venezuela</v>
      </c>
      <c r="BW7" s="318">
        <f t="shared" ref="BW7:BW9" ca="1" si="8">VLOOKUP(BV7,$AI$6:$AR$9,2,FALSE)</f>
        <v>5</v>
      </c>
      <c r="BX7" s="349">
        <f t="shared" ref="BX7:BX8" ca="1" si="9">IF(SUM($AK$6:$AK$9)=12,MIN(ABS(BS6-BS7),ABS(BS7-BS8)),100)</f>
        <v>1050000000.0100002</v>
      </c>
      <c r="BY7" s="318">
        <f t="shared" ref="BY7:BY9" ca="1" si="10">VLOOKUP($BV7,$AI$6:$AR$9,9,FALSE)</f>
        <v>2</v>
      </c>
      <c r="BZ7" s="318">
        <f t="shared" ref="BZ7:BZ9" ca="1" si="11">VLOOKUP($BV7,$AI$6:$AR$9,7,FALSE)</f>
        <v>3</v>
      </c>
      <c r="CA7" s="318">
        <f t="array" aca="1" ref="CA7" ca="1">IF($CB$6=$CD$5,$DF$5:$DF$8,IF($CB$6=$CE$5,$DG$5:$DG$7,IF(OR($CB$6=$CF$5,$CB$6=$CG$5),$DH$5:$DH$6,IF($CB$6=$CH$5,$DI$5:$DI$7,(IF($CB$6=$CI$5,$DK$5:$DK$6,$DM$5))))))</f>
        <v>2</v>
      </c>
      <c r="CB7" s="301"/>
      <c r="CC7" s="301">
        <v>2</v>
      </c>
      <c r="CD7" s="301">
        <f t="array" aca="1" ref="CD7" ca="1">IF(AND($BW$6:$BW$9=$BW$7,$BX$6:$BX$9&lt;90,$AQ$6:$AQ$9=$AQ$7,$BZ$6:$BZ$9=$BZ$7),1,0)</f>
        <v>0</v>
      </c>
      <c r="CE7" s="301">
        <f t="array" aca="1" ref="CE7" ca="1">IF(AND($BW$6:$BW$8=$BW$7,$BX$6:$BX$8&lt;90,$BW$7&lt;&gt;$BW$9),1,0)</f>
        <v>0</v>
      </c>
      <c r="CF7" s="301">
        <f t="array" aca="1" ref="CF7" ca="1">IF(AND($BW$6:$BW$7=$BW$6,$BX$6:$BX$7&lt;90,$BW$6&lt;&gt;$BW$8),1,0)</f>
        <v>0</v>
      </c>
      <c r="CG7" s="301">
        <f t="array" aca="1" ref="CG7" ca="1">IF(AND($BW$6:$BW$7=$BW$6,$BX$6:$BX$7&lt;90,$BW$6&lt;&gt;$BW$8),1,0)</f>
        <v>0</v>
      </c>
      <c r="CH7" s="301">
        <f t="array" aca="1" ref="CH7" ca="1">IF(AND($BW$7:$BW$9=$BW$7,$BX$7:$BX$9&lt;90,$BW$6&lt;&gt;$BW$7),1,0)</f>
        <v>0</v>
      </c>
      <c r="CI7" s="301">
        <f t="array" aca="1" ref="CI7" ca="1">IF(AND($BW$7:$BW$8=$BW$7,$BX$7:$BX$8&lt;90,$BW$7&lt;&gt;$BW$6,$BW$7&lt;&gt;$BW$9),1,0)</f>
        <v>0</v>
      </c>
      <c r="CJ7" s="301">
        <f t="array" aca="1" ref="CJ7" ca="1">IF(AND($BW$7&lt;&gt;$BW$6,$BW$7&lt;&gt;$BW$8),1,0)</f>
        <v>1</v>
      </c>
      <c r="CK7" s="301">
        <f t="array" aca="1" ref="CK7" ca="1">IF(AND($BW$7&lt;&gt;$BW$6,$BW$7&lt;&gt;$BW$8),1,0)</f>
        <v>1</v>
      </c>
      <c r="CL7" s="301">
        <f t="array" aca="1" ref="CL7" ca="1">IF(AND($BW$6:$BW$9=$BW$6,$BX$6:$BX$9&lt;90,$BY$6:$BY$7=$BY$6,$BY$7&lt;&gt;$BY$8),1,0)</f>
        <v>0</v>
      </c>
      <c r="CM7" s="301">
        <f t="array" aca="1" ref="CM7" ca="1">IF(AND($BW$6:$BW$9=$BW$6,$BX$6:$BX$9&lt;90,$BY$6:$BY$9=$BY$6,$BZ$6=$BZ$7,$BZ$7&lt;&gt;$BZ$8),1,0)</f>
        <v>0</v>
      </c>
      <c r="CN7" s="301">
        <f t="array" aca="1" ref="CN7" ca="1">IF(AND($BW$6:$BW$8=$BW$7,$BX$6:$BX$7&lt;90,$BX$8&gt;90),1,0)</f>
        <v>0</v>
      </c>
      <c r="CO7" s="301">
        <f t="array" aca="1" ref="CO7" ca="1">IF(AND($BW$7&lt;&gt;$BW$6,$BW$7:$BW$9=$BW$7,$BX$7&gt;90,$BX$8:$BX$9&lt;90),1,0)</f>
        <v>0</v>
      </c>
      <c r="CP7" s="301">
        <f t="array" aca="1" ref="CP7" ca="1">IF(AND($BW$7&lt;&gt;$BW$6,$BW$7:$BW$9=$BW$7,$BX$9&gt;90,$BX$7:$BX$8&lt;90),1,0)</f>
        <v>0</v>
      </c>
      <c r="CQ7" s="301">
        <f t="array" aca="1" ref="CQ7" ca="1">IF(AND($BW$7&lt;&gt;$BW$9,$BW$6:$BW$8=$BW$7,$BX$6&gt;90,$BX$7:$BX$8&lt;90),1,0)</f>
        <v>0</v>
      </c>
      <c r="CR7" s="301">
        <f t="array" aca="1" ref="CR7" ca="1">IF(AND($BW$6:$BW$9=$BW$7,$BX$7:$BX$9&lt;90,$BX$6&lt;&gt;$BX$7),1,0)</f>
        <v>0</v>
      </c>
      <c r="CS7" s="301">
        <f t="array" aca="1" ref="CS7" ca="1">IF(AND($BW$6:$BW$9=$BW$7,$BX$6:$BX$8&lt;90,$BX$7&lt;&gt;$BX$9),1,0)</f>
        <v>0</v>
      </c>
      <c r="CT7" s="301">
        <f t="array" aca="1" ref="CT7" ca="1">IF(AND($BW$6:$BW$9=$BW$7,$BX$6:$BX$7&gt;90,$BX$8:$BX$9&lt;90,$BY$6:$BY$9=$BY$7,$BZ$6&gt;$BZ$7,$BZ$7&gt;$BZ$8,$BZ$7&gt;$BZ$9),1,0)</f>
        <v>0</v>
      </c>
      <c r="CU7" s="301">
        <f t="array" aca="1" ref="CU7" ca="1">IF(AND($BW$6:$BW$9=$BW$7,$BX$6&gt;90,$BX$7:$BX$8&lt;90,$BX$9&gt;90,$BY$6:$BY$9=$BY$7,$BZ$6&gt;$BZ$7,$BZ$7=$BZ$8,$BZ$7&gt;$BZ$9),1,0)</f>
        <v>0</v>
      </c>
      <c r="CV7" s="301">
        <f t="array" aca="1" ref="CV7" ca="1">IF(AND($BW$6:$BW$9=$BW$7,$BX$6:$BX$7&lt;90,$BX$8:$BX$9&gt;90,$BY$6:$BY$9=$BY$7,$BZ$6=$BZ$7,$BZ$7&gt;$BZ$8,$BZ$7&gt;$BZ$9),1,0)</f>
        <v>0</v>
      </c>
      <c r="CW7" s="301">
        <f t="array" aca="1" ref="CW7" ca="1">IF(AND($BW$6:$BW$9=$BW$7,$BX$6:$BX$7&gt;90,$BX$8:$BX$9&lt;90,$BY$6:$BY$9=$BY$7,$BZ$6&gt;$BZ$7,$BZ$7:$BZ$9=$BZ$7),1,0)</f>
        <v>0</v>
      </c>
      <c r="CX7" s="301">
        <f t="array" aca="1" ref="CX7" ca="1">IF(AND($BW$6:$BW$9=$BW$7,$BX$6:$BX$7&lt;90,$BX$8:$BX$9&gt;90,$BY$6:$BY$9=$BY$7,$BZ$6:$BZ$8=$BZ$7,$BZ$7&gt;$BZ$9),1,0)</f>
        <v>0</v>
      </c>
      <c r="CY7" s="301">
        <f t="array" aca="1" ref="CY7" ca="1">IF(AND($BW$6:$BW$9=$BW$7,$BX$6&gt;90,$BX$9&gt;90,$BX$7:$BX$8&lt;90,$BY$6:$BY$9=$BY$7,$BZ$6&gt;$BZ$7:$BZ$9,$BZ$7:$BZ$9=$BZ$7),1,0)</f>
        <v>0</v>
      </c>
      <c r="CZ7" s="301"/>
      <c r="DA7" s="301"/>
      <c r="DB7" s="301"/>
      <c r="DC7" s="301"/>
      <c r="DD7" s="301"/>
      <c r="DE7" s="301"/>
      <c r="DF7" s="318">
        <v>3</v>
      </c>
      <c r="DG7" s="318">
        <v>3</v>
      </c>
      <c r="DH7" s="318"/>
      <c r="DI7" s="318">
        <v>4</v>
      </c>
      <c r="DJ7" s="318"/>
      <c r="DK7" s="318"/>
      <c r="DL7" s="318"/>
      <c r="DM7" s="318"/>
      <c r="DN7" s="318"/>
      <c r="DO7" s="318"/>
      <c r="DP7" s="301"/>
      <c r="DQ7" s="301"/>
    </row>
    <row r="8" spans="1:121 3565:3565 6820:6820 11323:11323" s="321" customFormat="1">
      <c r="A8" s="352" t="str">
        <f t="array" aca="1" ref="A8" ca="1">IF(ROWS(A$5:A8)&lt;=$C$4,INDEX(INDIRECT(A$4),SMALL(IF(Nivell=$B$4,ROW(Nivell)-ROW(Equipos!$C$2)+1),ROWS(B$4:B7))),"")</f>
        <v>Perú</v>
      </c>
      <c r="B8" s="353"/>
      <c r="C8" s="286"/>
      <c r="D8" s="286"/>
      <c r="E8" s="432"/>
      <c r="F8" s="174">
        <v>43638</v>
      </c>
      <c r="G8" s="175">
        <f t="shared" si="0"/>
        <v>43638.666666666664</v>
      </c>
      <c r="H8" s="174" t="s">
        <v>84</v>
      </c>
      <c r="I8" s="176" t="str">
        <f ca="1">A8</f>
        <v>Perú</v>
      </c>
      <c r="J8" s="177"/>
      <c r="K8" s="178">
        <v>0</v>
      </c>
      <c r="L8" s="178">
        <v>5</v>
      </c>
      <c r="M8" s="179"/>
      <c r="N8" s="188" t="str">
        <f ca="1">A5</f>
        <v>Brasil</v>
      </c>
      <c r="O8" s="293">
        <f t="shared" si="2"/>
        <v>1</v>
      </c>
      <c r="P8" s="291"/>
      <c r="Q8" s="208">
        <v>3</v>
      </c>
      <c r="R8" s="9" t="str">
        <f ca="1">VLOOKUP(Q8,$AG$6:$AI$9,3,0)</f>
        <v>Perú</v>
      </c>
      <c r="S8" s="8">
        <f ca="1">VLOOKUP(R8,$AI$6:$AR$9,2,FALSE)</f>
        <v>4</v>
      </c>
      <c r="T8" s="8">
        <f ca="1">VLOOKUP($R8,$AI$6:$AR$9,3,FALSE)</f>
        <v>3</v>
      </c>
      <c r="U8" s="8">
        <f ca="1">VLOOKUP($R8,$AI$6:$AR$9,4,FALSE)</f>
        <v>1</v>
      </c>
      <c r="V8" s="8">
        <f ca="1">VLOOKUP($R8,$AI$6:$AR$9,5,FALSE)</f>
        <v>1</v>
      </c>
      <c r="W8" s="8">
        <f ca="1">VLOOKUP($R8,$AI$6:$AR$9,6,FALSE)</f>
        <v>1</v>
      </c>
      <c r="X8" s="8">
        <f ca="1">VLOOKUP($R8,$AI$6:$AR$9,7,FALSE)</f>
        <v>3</v>
      </c>
      <c r="Y8" s="8">
        <f ca="1">VLOOKUP($R8,$AI$6:$AR$9,8,FALSE)</f>
        <v>6</v>
      </c>
      <c r="Z8" s="209">
        <f ca="1">VLOOKUP($R8,$AI$6:$AR$9,9,FALSE)</f>
        <v>-3</v>
      </c>
      <c r="AA8" s="297">
        <f ca="1">IF(SUM($AK$6:$AK$9)=12,MIN(ABS(BS7-BS8),ABS(BS8-BS9)),100)</f>
        <v>1050000000.0100002</v>
      </c>
      <c r="AB8" s="345" t="str">
        <f ca="1">IF(AND(AA8&gt;=0,AA8&lt;90),VLOOKUP(Q8,$BO$6:$BP$9,2,0),"")</f>
        <v/>
      </c>
      <c r="AC8" s="350"/>
      <c r="AD8" s="351"/>
      <c r="AE8" s="351"/>
      <c r="AF8" s="279">
        <f ca="1">VLOOKUP($R8,$AI$6:$AR$9,10,FALSE)</f>
        <v>3970310999.96</v>
      </c>
      <c r="AG8" s="301">
        <f t="shared" ca="1" si="4"/>
        <v>2</v>
      </c>
      <c r="AH8" s="301">
        <f ca="1">RANK(AR8,$AR$6:$AR$9)</f>
        <v>2</v>
      </c>
      <c r="AI8" s="318" t="str">
        <f ca="1">A7</f>
        <v>Venezuela</v>
      </c>
      <c r="AJ8" s="301">
        <f ca="1">AL8*3+AM8*1+AN8*0</f>
        <v>5</v>
      </c>
      <c r="AK8" s="301">
        <f ca="1">COUNTIFS($I$4:$I$9,AI8,$K$4:$K$9,"&lt;&gt;",$L$4:$L$9,"&lt;&gt;")+COUNTIFS($N$4:$N$9,AI8,$L$4:$L$9,"&lt;&gt;",$K$4:$K$9,"&lt;&gt;")</f>
        <v>3</v>
      </c>
      <c r="AL8" s="301">
        <f t="array" aca="1" ref="AL8" ca="1">SUM((I$4:I$9=AI8)*(K$4:K$9&lt;&gt;"")*(L$4:L$9&lt;&gt;"")*(K$4:K$9&gt;L$4:L$9),(N$4:N$9=AI8)*(K$4:K$9&lt;&gt;"")*(L$4:L$9&lt;&gt;"")*(K$4:K$9&lt;L$4:L$9))</f>
        <v>1</v>
      </c>
      <c r="AM8" s="301">
        <f t="array" aca="1" ref="AM8" ca="1">SUM((I$4:I$9=AI8)*(K$4:K$9&lt;&gt;"")*(L$4:L$9&lt;&gt;"")*(K$4:K$9=L$4:L$9),(N$4:N$9=AI8)*(K$4:K$9&lt;&gt;"")*(L$4:L$9&lt;&gt;"")*(K$4:K$9=L$4:L$9))</f>
        <v>2</v>
      </c>
      <c r="AN8" s="301">
        <f t="array" aca="1" ref="AN8" ca="1">SUM((I$4:I$9=AI8)*(L$4:L$9&lt;&gt;"")*(K$4:K$9&lt;&gt;"")*(K$4:K$9&lt;L$4:L$9),(K$4:K$9&lt;&gt;"")*(N$4:N$9=AI8)*(L$4:L$9&lt;&gt;"")*(K$4:K$9&gt;L$4:L$9))</f>
        <v>0</v>
      </c>
      <c r="AO8" s="301">
        <f t="array" aca="1" ref="AO8" ca="1">SUMIFS($K$4:$K$9,$I$4:$I$9,AI8,$K$4:$K$9,"&lt;&gt;",$L$4:$L$9,"&lt;&gt;")+SUMIFS($L$4:$L$9,$N$4:$N$9,AI8,$K$4:$K$9,"&lt;&gt;",$L$4:$L$9,"&lt;&gt;")</f>
        <v>3</v>
      </c>
      <c r="AP8" s="301">
        <f t="array" aca="1" ref="AP8" ca="1">SUMIFS($K$4:$K$9,$N$4:$N$9,AI8,$K$4:$K$9,"&lt;&gt;",$L$4:$L$9,"&lt;&gt;")+SUMIFS($L$4:$L$9,$I$4:$I$9,AI8,$K$4:$K$9,"&lt;&gt;",$L$4:$L$9,"&lt;&gt;")</f>
        <v>1</v>
      </c>
      <c r="AQ8" s="301">
        <f ca="1">AO8-AP8</f>
        <v>2</v>
      </c>
      <c r="AR8" s="301">
        <f ca="1">IF(AK8=0,-($AW$9*VLOOKUP(AI8,Tabla3[[NombreEquipo]:[Rank]],3,FALSE)),AJ8*$AW$4+AQ8*$AW$5+AO8*$AW$6+BA8-($AW$9*VLOOKUP(AI8,Tabla3[[NombreEquipo]:[Rank]],3,FALSE)/100))</f>
        <v>5020310999.9700003</v>
      </c>
      <c r="AS8" s="301">
        <f ca="1">AH8</f>
        <v>2</v>
      </c>
      <c r="AT8" s="301"/>
      <c r="AU8" s="301">
        <f ca="1">IFERROR(AR8-VLOOKUP(AI8,$AB$6:$AC$9,2,0),AR8)</f>
        <v>5020310999.9700003</v>
      </c>
      <c r="AV8" s="339" t="s">
        <v>51</v>
      </c>
      <c r="AW8" s="340">
        <f>AW9*1000</f>
        <v>1000</v>
      </c>
      <c r="AX8" s="301"/>
      <c r="AY8" s="347" t="str">
        <f ca="1">AI8</f>
        <v>Venezuela</v>
      </c>
      <c r="AZ8" s="301">
        <f ca="1">COUNTIF(AJ6:AJ9,AJ8)</f>
        <v>1</v>
      </c>
      <c r="BA8" s="301">
        <f ca="1">(BB8*$AW$8)+(BH8*$AW$7)</f>
        <v>11000</v>
      </c>
      <c r="BB8" s="348">
        <f ca="1">RANK(BC8,BC6:BC9,1)</f>
        <v>1</v>
      </c>
      <c r="BC8" s="348">
        <f ca="1">SUM(IF(AND(AJ8=AJ9,AQ8=AQ9,AO8=AO9),BG8,0),IF(AND(AJ8=AJ6,AQ8=AQ6,AO8=AO6),BD8,0),IF(AND(AJ8=AJ7,AQ8=AQ7,AO8=AO7),BE8,0))</f>
        <v>0</v>
      </c>
      <c r="BD8" s="348">
        <f t="array" aca="1" ref="BD8" ca="1">SUMIFS($K$4:$K$9,$I$4:$I$9,$AY8,$K$4:$K$9,"&lt;&gt;",$L$4:$L$9,"&lt;&gt;",$N$4:$N$9,BD5)+SUMIFS($L$4:$L$9,$I$4:$I$9,BD5,$K$4:$K$9,"&lt;&gt;",$L$4:$L$9,"&lt;&gt;",$N$4:$N$9,$AY8)</f>
        <v>0</v>
      </c>
      <c r="BE8" s="348">
        <f t="array" aca="1" ref="BE8" ca="1">SUMIFS($K$4:$K$9,$I$4:$I$9,$AY8,$K$4:$K$9,"&lt;&gt;",$L$4:$L$9,"&lt;&gt;",$N$4:$N$9,BE5)+SUMIFS($L$4:$L$9,$I$4:$I$9,BE5,$K$4:$K$9,"&lt;&gt;",$L$4:$L$9,"&lt;&gt;",$N$4:$N$9,$AY8)</f>
        <v>3</v>
      </c>
      <c r="BF8" s="348">
        <v>0</v>
      </c>
      <c r="BG8" s="348">
        <f t="array" aca="1" ref="BG8" ca="1">SUMIFS($K$4:$K$9,$I$4:$I$9,$AY8,$K$4:$K$9,"&lt;&gt;",$L$4:$L$9,"&lt;&gt;",$N$4:$N$9,BG5)+SUMIFS($L$4:$L$9,$I$4:$I$9,BG5,$K$4:$K$9,"&lt;&gt;",$L$4:$L$9,"&lt;&gt;",$N$4:$N$9,$AY8)</f>
        <v>0</v>
      </c>
      <c r="BH8" s="348">
        <f ca="1">RANK(BI8,BI6:BI9,1)</f>
        <v>1</v>
      </c>
      <c r="BI8" s="348">
        <f ca="1">SUM(IF(AND(AJ8=AJ9,AQ8=AQ9,AO8=AO9),BM8,0),IF(AND(AJ8=AJ6,AQ8=AQ6,AO8=AO6),BJ8,0),IF(AND(AJ8=AJ7,AQ8=AQ7,AO8=AO7),BK8,0))</f>
        <v>0</v>
      </c>
      <c r="BJ8" s="348">
        <f ca="1">BD8-BF6</f>
        <v>0</v>
      </c>
      <c r="BK8" s="348">
        <f ca="1">BE8-BF7</f>
        <v>2</v>
      </c>
      <c r="BL8" s="348">
        <v>0</v>
      </c>
      <c r="BM8" s="348">
        <f ca="1">BG8-BF9</f>
        <v>0</v>
      </c>
      <c r="BN8" s="318">
        <v>3</v>
      </c>
      <c r="BO8" s="318">
        <f t="shared" ca="1" si="5"/>
        <v>2</v>
      </c>
      <c r="BP8" s="318" t="str">
        <f ca="1">A7</f>
        <v>Venezuela</v>
      </c>
      <c r="BQ8" s="318">
        <f ca="1">IF(AK8=0,-($AW$9*VLOOKUP(AI8,Tabla3[[NombreEquipo]:[Rank]],3,FALSE)),AJ8*$AW$4+AQ8*$AW$5+AO8*$AW$6+BA8-($AW$9*VLOOKUP(AI8,Tabla3[[NombreEquipo]:[Rank]],3,FALSE)/100))</f>
        <v>5020310999.9700003</v>
      </c>
      <c r="BR8" s="318" t="str">
        <f ca="1">VLOOKUP(Q8,$AH$6:$AI$9,2,0)</f>
        <v>Perú</v>
      </c>
      <c r="BS8" s="318">
        <f t="shared" ca="1" si="6"/>
        <v>3970310999.96</v>
      </c>
      <c r="BT8" s="318"/>
      <c r="BU8" s="318">
        <v>3</v>
      </c>
      <c r="BV8" s="318" t="str">
        <f t="shared" ca="1" si="7"/>
        <v>Perú</v>
      </c>
      <c r="BW8" s="318">
        <f t="shared" ca="1" si="8"/>
        <v>4</v>
      </c>
      <c r="BX8" s="349">
        <f t="shared" ca="1" si="9"/>
        <v>1050000000.0100002</v>
      </c>
      <c r="BY8" s="318">
        <f t="shared" ca="1" si="10"/>
        <v>-3</v>
      </c>
      <c r="BZ8" s="318">
        <f t="shared" ca="1" si="11"/>
        <v>3</v>
      </c>
      <c r="CA8" s="318">
        <f t="array" aca="1" ref="CA8" ca="1">IF($CB$6=$CD$5,$DF$5:$DF$8,IF($CB$6=$CE$5,$DG$5:$DG$7,IF(OR($CB$6=$CF$5,$CB$6=$CJ$5),$DJ$5:$DJ$6,IF($CB$6=$CH$5,$DI$5:$DI$7,(IF($CB$6=$CI$5,$DK$5:$DK$6,$DN$5))))))</f>
        <v>3</v>
      </c>
      <c r="CB8" s="301"/>
      <c r="CC8" s="301">
        <v>3</v>
      </c>
      <c r="CD8" s="301">
        <f t="array" aca="1" ref="CD8" ca="1">IF(AND($BW$6:$BW$9=$BW$8,$BX$6:$BX$9&lt;90,$AQ$6:$AQ$9=$AQ$8,$BZ$6:$BZ$9=$BZ$8),1,0)</f>
        <v>0</v>
      </c>
      <c r="CE8" s="301">
        <f t="array" aca="1" ref="CE8" ca="1">IF(AND($BW$6:$BW$8=$BW$8,$BX$6:$BX$8&lt;90,$BW$8&lt;&gt;$BW$9),1,0)</f>
        <v>0</v>
      </c>
      <c r="CF8" s="301">
        <f t="array" aca="1" ref="CF8" ca="1">IF(AND($BW$8:$BW$9=$BW$8,$BX$8:$BX$9&lt;90,$BW$8&lt;&gt;$BW$7),1,0)</f>
        <v>0</v>
      </c>
      <c r="CG8" s="301">
        <f t="array" aca="1" ref="CG8" ca="1">IF(OR(AND($BW$8&lt;&gt;$BW$7,$BW$8&lt;&gt;$BW$9),AND($BW$8&lt;&gt;$BW$7,$BW$8=$BW$9,$BX$8&gt;90,$BX$9&gt;90)),1,0)</f>
        <v>1</v>
      </c>
      <c r="CH8" s="301">
        <f t="array" aca="1" ref="CH8" ca="1">IF(AND($BW$7:$BW$9=$BW$7,$BX$7:$BX$9&lt;90,$BW$6&lt;&gt;$BW$8),1,0)</f>
        <v>0</v>
      </c>
      <c r="CI8" s="301">
        <f t="array" aca="1" ref="CI8" ca="1">IF(AND($BW$7:$BW$8=$BW$8,$BX$7:$BX$8&lt;90,$BW$8&lt;&gt;$BW$6,$BW$8&lt;&gt;$BW$9),1,0)</f>
        <v>0</v>
      </c>
      <c r="CJ8" s="301">
        <f t="array" aca="1" ref="CJ8" ca="1">IF(AND($BW$8:$BW$9=$BW$8,$BX$8:$BX$9&lt;90,$BW$8&lt;&gt;$BW$7),1,0)</f>
        <v>0</v>
      </c>
      <c r="CK8" s="301">
        <f t="array" aca="1" ref="CK8" ca="1">IF(AND($BW$8&lt;&gt;$BW$7,$BW$8&lt;&gt;$BW$9),1,0)</f>
        <v>1</v>
      </c>
      <c r="CL8" s="301">
        <f t="array" aca="1" ref="CL8" ca="1">IF(AND($BW$6:$BW$9=$BW$6,$BX$6:$BX$9&lt;90,$BY$8:$BY$9=$BY$8,$BY$7&lt;&gt;$BY$8),1,0)</f>
        <v>0</v>
      </c>
      <c r="CM8" s="301">
        <f t="array" aca="1" ref="CM8" ca="1">IF(AND($BW$6:$BW$9=$BW$6,$BX$6:$BX$9&lt;90,$BY$6:$BY$9=$BY$6,$BZ$8=$BZ$9,$BZ$7&lt;&gt;$BZ$8),1,0)</f>
        <v>0</v>
      </c>
      <c r="CN8" s="301">
        <f t="array" aca="1" ref="CN8" ca="1">IF(AND($BW$6:$BW$8=$BW$8,$BX$6:$BX$7&lt;90,$BX$8&gt;90),1,0)</f>
        <v>0</v>
      </c>
      <c r="CO8" s="301">
        <f t="array" aca="1" ref="CO8" ca="1">IF(AND($BW$7&lt;&gt;$BW$6,$BW$7:$BW$9=$BW$8,$BX$7&gt;90,$BX$8:$BX$9&lt;90),1,0)</f>
        <v>0</v>
      </c>
      <c r="CP8" s="301">
        <f t="array" aca="1" ref="CP8" ca="1">IF(AND($BW$7&lt;&gt;$BW$6,$BW$7:$BW$9=$BW$7,$BX$9&gt;90,$BX$7:$BX$8&lt;90),1,0)</f>
        <v>0</v>
      </c>
      <c r="CQ8" s="301">
        <f t="array" aca="1" ref="CQ8" ca="1">IF(AND($BW$8&lt;&gt;$BW$9,$BW$6:$BW$8=$BW$8,$BX$6&gt;90,$BX$7:$BX$8&lt;90),1,0)</f>
        <v>0</v>
      </c>
      <c r="CR8" s="301">
        <f t="array" aca="1" ref="CR8" ca="1">IF(AND($BW$6:$BW$9=$BW$7,$BX$7:$BX$9&lt;90,$BX$6&lt;&gt;$BX$8),1,0)</f>
        <v>0</v>
      </c>
      <c r="CS8" s="301">
        <f t="array" aca="1" ref="CS8" ca="1">IF(AND($BW$6:$BW$9=$BW$8,$BX$6:$BX$8&lt;90,$BX$8&lt;&gt;$BX$9),1,0)</f>
        <v>0</v>
      </c>
      <c r="CT8" s="301">
        <f t="array" aca="1" ref="CT8" ca="1">IF(AND($BW$6:$BW$9=$BW$8,$BX$6:$BX$7&gt;90,$BX$8:$BX$9&lt;90,$BY$6:$BY$9=$BY$8,$BZ$6&gt;$BZ$7,$BZ$7&gt;$BZ$8,$BZ$8=$BZ$9),1,0)</f>
        <v>0</v>
      </c>
      <c r="CU8" s="301">
        <f t="array" aca="1" ref="CU8" ca="1">IF(AND($BW$6:$BW$9=$BW$8,$BX$6&gt;90,$BX$7:$BX$8&lt;90,$BX$9&gt;90,$BY$6:$BY$9=$BY$8,$BZ$6&gt;$BZ$7,$BZ$7=$BZ$8,$BZ$8&gt;$BZ$9),1,0)</f>
        <v>0</v>
      </c>
      <c r="CV8" s="301">
        <f t="array" aca="1" ref="CV8" ca="1">IF(AND($BW$6:$BW$9=$BW$8,$BX$6:$BX$7&lt;90,$BX$8:$BX$9&gt;90,$BY$6:$BY$9=$BY$8,$BZ$6=$BZ$7,$BZ$7&gt;$BZ$8,$BZ$8&gt;$BZ$9),1,0)</f>
        <v>0</v>
      </c>
      <c r="CW8" s="301">
        <f t="array" aca="1" ref="CW8" ca="1">IF(AND($BW$6:$BW$9=$BW$8,$BX$6:$BX$7&gt;90,$BX$8:$BX$9&lt;90,$BY$6:$BY$9=$BY$7,$BZ$6&gt;$BZ$8,$BZ$7:$BZ$9=$BZ$8),1,0)</f>
        <v>0</v>
      </c>
      <c r="CX8" s="301">
        <f t="array" aca="1" ref="CX8" ca="1">IF(AND($BW$6:$BW$9=$BW$8,$BX$6:$BX$7&lt;90,$BX$8:$BX$9&gt;90,$BY$6:$BY$9=$BY$8,$BZ$6:$BZ$8=$BZ$8,$BZ$8&gt;$BZ$9),1,0)</f>
        <v>0</v>
      </c>
      <c r="CY8" s="301">
        <f t="array" aca="1" ref="CY8" ca="1">IF(AND($BW$6:$BW$9=$BW$8,$BX$6&gt;90,$BX$9&gt;90,$BX$7:$BX$8&lt;90,$BY$6:$BY$9=$BY$8,$BZ$6&gt;$BZ$7:$BZ$9,$BZ$7:$BZ$9=$BZ$8),1,0)</f>
        <v>0</v>
      </c>
      <c r="CZ8" s="301"/>
      <c r="DA8" s="301"/>
      <c r="DB8" s="301"/>
      <c r="DC8" s="301"/>
      <c r="DD8" s="301"/>
      <c r="DE8" s="301"/>
      <c r="DF8" s="318">
        <v>4</v>
      </c>
      <c r="DG8" s="318"/>
      <c r="DH8" s="318"/>
      <c r="DI8" s="318"/>
      <c r="DJ8" s="318"/>
      <c r="DK8" s="318"/>
      <c r="DL8" s="318"/>
      <c r="DM8" s="318"/>
      <c r="DN8" s="318"/>
      <c r="DO8" s="318"/>
      <c r="DP8" s="301"/>
      <c r="DQ8" s="301"/>
    </row>
    <row r="9" spans="1:121 3565:3565 6820:6820 11323:11323" s="321" customFormat="1" ht="15" thickBot="1">
      <c r="A9" s="275"/>
      <c r="B9" s="353"/>
      <c r="C9" s="275"/>
      <c r="D9" s="286"/>
      <c r="E9" s="433"/>
      <c r="F9" s="189">
        <v>43638</v>
      </c>
      <c r="G9" s="190">
        <f t="shared" si="0"/>
        <v>43638.666666666664</v>
      </c>
      <c r="H9" s="189" t="s">
        <v>84</v>
      </c>
      <c r="I9" s="191" t="str">
        <f ca="1">A6</f>
        <v>Bolivia</v>
      </c>
      <c r="J9" s="192"/>
      <c r="K9" s="193">
        <v>1</v>
      </c>
      <c r="L9" s="193">
        <v>3</v>
      </c>
      <c r="M9" s="194"/>
      <c r="N9" s="195" t="str">
        <f ca="1">A7</f>
        <v>Venezuela</v>
      </c>
      <c r="O9" s="293">
        <f t="shared" si="2"/>
        <v>1</v>
      </c>
      <c r="P9" s="291"/>
      <c r="Q9" s="210">
        <v>4</v>
      </c>
      <c r="R9" s="211" t="str">
        <f ca="1">VLOOKUP(Q9,$AG$6:$AI$9,3,0)</f>
        <v>Bolivia</v>
      </c>
      <c r="S9" s="212">
        <f ca="1">VLOOKUP(R9,$AI$6:$AR$9,2,FALSE)</f>
        <v>0</v>
      </c>
      <c r="T9" s="212">
        <f ca="1">VLOOKUP($R9,$AI$6:$AR$9,3,FALSE)</f>
        <v>3</v>
      </c>
      <c r="U9" s="212">
        <f ca="1">VLOOKUP($R9,$AI$6:$AR$9,4,FALSE)</f>
        <v>0</v>
      </c>
      <c r="V9" s="212">
        <f ca="1">VLOOKUP($R9,$AI$6:$AR$9,5,FALSE)</f>
        <v>0</v>
      </c>
      <c r="W9" s="212">
        <f ca="1">VLOOKUP($R9,$AI$6:$AR$9,6,FALSE)</f>
        <v>3</v>
      </c>
      <c r="X9" s="212">
        <f ca="1">VLOOKUP($R9,$AI$6:$AR$9,7,FALSE)</f>
        <v>2</v>
      </c>
      <c r="Y9" s="212">
        <f ca="1">VLOOKUP($R9,$AI$6:$AR$9,8,FALSE)</f>
        <v>9</v>
      </c>
      <c r="Z9" s="213">
        <f ca="1">VLOOKUP($R9,$AI$6:$AR$9,9,FALSE)</f>
        <v>-7</v>
      </c>
      <c r="AA9" s="297">
        <f ca="1">IF(SUM($AK$6:$AK$9)=12,MIN(ABS(BS8-BS9),ABS(BS9-BS10)),100)</f>
        <v>69789000.019999996</v>
      </c>
      <c r="AB9" s="345" t="str">
        <f ca="1">IF(AND(AA9&gt;=0,AA9&lt;90),VLOOKUP(Q9,$BO$6:$BP$9,2,0),"")</f>
        <v/>
      </c>
      <c r="AC9" s="346"/>
      <c r="AD9" s="297"/>
      <c r="AE9" s="297"/>
      <c r="AF9" s="279">
        <f ca="1">VLOOKUP($R9,$AI$6:$AR$9,10,FALSE)</f>
        <v>-69789000.019999996</v>
      </c>
      <c r="AG9" s="301">
        <f t="shared" ca="1" si="4"/>
        <v>3</v>
      </c>
      <c r="AH9" s="301">
        <f ca="1">RANK(AR9,$AR$6:$AR$9)</f>
        <v>3</v>
      </c>
      <c r="AI9" s="318" t="str">
        <f ca="1">A8</f>
        <v>Perú</v>
      </c>
      <c r="AJ9" s="301">
        <f ca="1">AL9*3+AM9*1+AN9*0</f>
        <v>4</v>
      </c>
      <c r="AK9" s="301">
        <f ca="1">COUNTIFS($I$4:$I$9,AI9,$K$4:$K$9,"&lt;&gt;",$L$4:$L$9,"&lt;&gt;")+COUNTIFS($N$4:$N$9,AI9,$L$4:$L$9,"&lt;&gt;",$K$4:$K$9,"&lt;&gt;")</f>
        <v>3</v>
      </c>
      <c r="AL9" s="301">
        <f t="array" aca="1" ref="AL9" ca="1">SUM((I$4:I$9=AI9)*(K$4:K$9&lt;&gt;"")*(L$4:L$9&lt;&gt;"")*(K$4:K$9&gt;L$4:L$9),(N$4:N$9=AI9)*(K$4:K$9&lt;&gt;"")*(L$4:L$9&lt;&gt;"")*(K$4:K$9&lt;L$4:L$9))</f>
        <v>1</v>
      </c>
      <c r="AM9" s="301">
        <f t="array" aca="1" ref="AM9" ca="1">SUM((I$4:I$9=AI9)*(K$4:K$9&lt;&gt;"")*(L$4:L$9&lt;&gt;"")*(K$4:K$9=L$4:L$9),(N$4:N$9=AI9)*(K$4:K$9&lt;&gt;"")*(L$4:L$9&lt;&gt;"")*(K$4:K$9=L$4:L$9))</f>
        <v>1</v>
      </c>
      <c r="AN9" s="301">
        <f t="array" aca="1" ref="AN9" ca="1">SUM((I$4:I$9=AI9)*(L$4:L$9&lt;&gt;"")*(K$4:K$9&lt;&gt;"")*(K$4:K$9&lt;L$4:L$9),(K$4:K$9&lt;&gt;"")*(N$4:N$9=AI9)*(L$4:L$9&lt;&gt;"")*(K$4:K$9&gt;L$4:L$9))</f>
        <v>1</v>
      </c>
      <c r="AO9" s="301">
        <f t="array" aca="1" ref="AO9" ca="1">SUMIFS($K$4:$K$9,$I$4:$I$9,AI9,$K$4:$K$9,"&lt;&gt;",$L$4:$L$9,"&lt;&gt;")+SUMIFS($L$4:$L$9,$N$4:$N$9,AI9,$K$4:$K$9,"&lt;&gt;",$L$4:$L$9,"&lt;&gt;")</f>
        <v>3</v>
      </c>
      <c r="AP9" s="301">
        <f t="array" aca="1" ref="AP9" ca="1">SUMIFS($K$4:$K$9,$N$4:$N$9,AI9,$K$4:$K$9,"&lt;&gt;",$L$4:$L$9,"&lt;&gt;")+SUMIFS($L$4:$L$9,$I$4:$I$9,AI9,$K$4:$K$9,"&lt;&gt;",$L$4:$L$9,"&lt;&gt;")</f>
        <v>6</v>
      </c>
      <c r="AQ9" s="301">
        <f ca="1">AO9-AP9</f>
        <v>-3</v>
      </c>
      <c r="AR9" s="301">
        <f ca="1">IF(AK9=0,-($AW$9*VLOOKUP(AI9,Tabla3[[NombreEquipo]:[Rank]],3,FALSE)),AJ9*$AW$4+AQ9*$AW$5+AO9*$AW$6+BA9-($AW$9*VLOOKUP(AI9,Tabla3[[NombreEquipo]:[Rank]],3,FALSE)/100))</f>
        <v>3970310999.96</v>
      </c>
      <c r="AS9" s="301">
        <f ca="1">AH9</f>
        <v>3</v>
      </c>
      <c r="AT9" s="301"/>
      <c r="AU9" s="301">
        <f ca="1">IFERROR(AR9-VLOOKUP(AI9,$AB$6:$AC$9,2,0),AR9)</f>
        <v>3970310999.96</v>
      </c>
      <c r="AV9" s="339" t="s">
        <v>43</v>
      </c>
      <c r="AW9" s="340">
        <v>1</v>
      </c>
      <c r="AX9" s="301"/>
      <c r="AY9" s="347" t="str">
        <f ca="1">AI9</f>
        <v>Perú</v>
      </c>
      <c r="AZ9" s="301">
        <f ca="1">COUNTIF(AJ6:AJ9,AJ9)</f>
        <v>1</v>
      </c>
      <c r="BA9" s="301">
        <f ca="1">(BB9*$AW$8)+(BH9*$AW$7)</f>
        <v>11000</v>
      </c>
      <c r="BB9" s="348">
        <f ca="1">RANK(BC9,BC6:BC9,1)</f>
        <v>1</v>
      </c>
      <c r="BC9" s="348">
        <f ca="1">SUM(IF(AND(AJ9=AJ6,AQ9=AQ6,AO9=AO6),BD9,0),IF(AND(AJ9=AJ7,AQ9=AQ7,AO9=AO7),BE9,0),IF(AND(AJ9=AJ8,AQ9=AQ8,AO9=AO8),BF9,0))</f>
        <v>0</v>
      </c>
      <c r="BD9" s="348">
        <f t="array" aca="1" ref="BD9" ca="1">SUMIFS($K$4:$K$9,$I$4:$I$9,$AY9,$K$4:$K$9,"&lt;&gt;",$L$4:$L$9,"&lt;&gt;",$N$4:$N$9,BD5)+SUMIFS($L$4:$L$9,$I$4:$I$9,BD5,$K$4:$K$9,"&lt;&gt;",$L$4:$L$9,"&lt;&gt;",$N$4:$N$9,$AY9)</f>
        <v>0</v>
      </c>
      <c r="BE9" s="348">
        <f t="array" aca="1" ref="BE9" ca="1">SUMIFS($K$4:$K$9,$I$4:$I$9,$AY9,$K$4:$K$9,"&lt;&gt;",$L$4:$L$9,"&lt;&gt;",$N$4:$N$9,BE5)+SUMIFS($L$4:$L$9,$I$4:$I$9,BE5,$K$4:$K$9,"&lt;&gt;",$L$4:$L$9,"&lt;&gt;",$N$4:$N$9,$AY9)</f>
        <v>3</v>
      </c>
      <c r="BF9" s="348">
        <f t="array" aca="1" ref="BF9" ca="1">SUMIFS($K$4:$K$9,$I$4:$I$9,$AY9,$K$4:$K$9,"&lt;&gt;",$L$4:$L$9,"&lt;&gt;",$N$4:$N$9,BF5)+SUMIFS($L$4:$L$9,$I$4:$I$9,BF5,$K$4:$K$9,"&lt;&gt;",$L$4:$L$9,"&lt;&gt;",$N$4:$N$9,$AY9)</f>
        <v>0</v>
      </c>
      <c r="BG9" s="348">
        <v>0</v>
      </c>
      <c r="BH9" s="348">
        <f ca="1">RANK(BI9,BI6:BI9,1)</f>
        <v>1</v>
      </c>
      <c r="BI9" s="348">
        <f ca="1">SUM(IF(AND(AJ9=AJ6,AQ9=AQ6,AO9=AO6),BJ9,0),IF(AND(AJ9=AJ7,AQ9=AQ7,AO9=AO7),BK9,0),IF(AND(AJ9=AJ8,AQ9=AQ8,AO9=AO8),BL9,0))</f>
        <v>0</v>
      </c>
      <c r="BJ9" s="348">
        <f ca="1">BD9-BG6</f>
        <v>-5</v>
      </c>
      <c r="BK9" s="348">
        <f ca="1">BE9-BG7</f>
        <v>2</v>
      </c>
      <c r="BL9" s="348">
        <f ca="1">BF9-BG8</f>
        <v>0</v>
      </c>
      <c r="BM9" s="348">
        <v>0</v>
      </c>
      <c r="BN9" s="318">
        <v>4</v>
      </c>
      <c r="BO9" s="318">
        <f t="shared" ca="1" si="5"/>
        <v>3</v>
      </c>
      <c r="BP9" s="318" t="str">
        <f ca="1">A8</f>
        <v>Perú</v>
      </c>
      <c r="BQ9" s="318">
        <f ca="1">IF(AK9=0,-($AW$9*VLOOKUP(AI9,Tabla3[[NombreEquipo]:[Rank]],3,FALSE)),AJ9*$AW$4+AQ9*$AW$5+AO9*$AW$6+BA9-($AW$9*VLOOKUP(AI9,Tabla3[[NombreEquipo]:[Rank]],3,FALSE)/100))</f>
        <v>3970310999.96</v>
      </c>
      <c r="BR9" s="318" t="str">
        <f ca="1">VLOOKUP(Q9,$AH$6:$AI$9,2,0)</f>
        <v>Bolivia</v>
      </c>
      <c r="BS9" s="318">
        <f t="shared" ca="1" si="6"/>
        <v>-69789000.019999996</v>
      </c>
      <c r="BT9" s="318"/>
      <c r="BU9" s="318">
        <v>4</v>
      </c>
      <c r="BV9" s="318" t="str">
        <f t="shared" ca="1" si="7"/>
        <v>Bolivia</v>
      </c>
      <c r="BW9" s="318">
        <f t="shared" ca="1" si="8"/>
        <v>0</v>
      </c>
      <c r="BX9" s="349">
        <f ca="1">IF(SUM($AK$6:$AK$9)=12,MIN(ABS(BS8-BS9),ABS(BS9-BS10)),100)</f>
        <v>69789000.019999996</v>
      </c>
      <c r="BY9" s="318">
        <f t="shared" ca="1" si="10"/>
        <v>-7</v>
      </c>
      <c r="BZ9" s="318">
        <f t="shared" ca="1" si="11"/>
        <v>2</v>
      </c>
      <c r="CA9" s="318">
        <f t="array" aca="1" ref="CA9" ca="1">IF($CB$6=$CD$5,$DF$5:$DF$8,IF(OR($CB$6=$CF$5,$CB$6=$CJ$5),$DJ$5:$DJ$6,IF($CB$6=$CH$5,$DI$5:$DI$7,$DO$5)))</f>
        <v>4</v>
      </c>
      <c r="CB9" s="301"/>
      <c r="CC9" s="301">
        <v>4</v>
      </c>
      <c r="CD9" s="301">
        <f t="array" aca="1" ref="CD9" ca="1">IF(AND($BW$6:$BW$9=$BW$9,$BX$6:$BX$9&lt;90,$AQ$6:$AQ$9=$AQ$9,$BZ$6:$BZ$9=$BZ$9),1,0)</f>
        <v>0</v>
      </c>
      <c r="CE9" s="301">
        <f t="array" aca="1" ref="CE9" ca="1">IF(AND($BW$6:$BW$8=$BW$6,$BX$6:$BX$8&lt;90,$BX$9&gt;90,$BW$6&lt;&gt;$BW$9),1,0)</f>
        <v>0</v>
      </c>
      <c r="CF9" s="301">
        <f t="array" aca="1" ref="CF9" ca="1">IF(AND($BW$8:$BW$9=$BW$8,$BX$8:$BX$9&lt;90,$BW$8&lt;&gt;$BW$7),1,0)</f>
        <v>0</v>
      </c>
      <c r="CG9" s="301">
        <f t="array" aca="1" ref="CG9" ca="1">IF(AND($BW$9&lt;&gt;$BW$7,$BW$9&lt;&gt;$BW$6),1,0)</f>
        <v>1</v>
      </c>
      <c r="CH9" s="301">
        <f t="array" aca="1" ref="CH9" ca="1">IF(AND($BW$7:$BW$9=$BW$7,$BX$7:$BX$9&lt;90,$BW$6&lt;&gt;$BW$9),1,0)</f>
        <v>0</v>
      </c>
      <c r="CI9" s="301">
        <f t="array" aca="1" ref="CI9" ca="1">IF(AND($BW$9&lt;&gt;$BW$7,$BW$9&lt;&gt;$BW$6),1,0)</f>
        <v>1</v>
      </c>
      <c r="CJ9" s="301">
        <f t="array" aca="1" ref="CJ9" ca="1">IF(AND($BW$8:$BW$9=$BW$8,$BX$8:$BX$9&lt;90,$BW$8&lt;&gt;$BW$7),1,0)</f>
        <v>0</v>
      </c>
      <c r="CK9" s="301">
        <f t="array" aca="1" ref="CK9" ca="1">IF(AND($BW$9&lt;&gt;$BW$7,$BW$9&lt;&gt;$BW$6),1,0)</f>
        <v>1</v>
      </c>
      <c r="CL9" s="301">
        <f t="array" aca="1" ref="CL9" ca="1">IF(AND($BW$6:$BW$9=$BW$6,$BX$6:$BX$9&lt;90,$BY$8:$BY$9=$BY$9,$BY$7&lt;&gt;$BY$9),1,0)</f>
        <v>0</v>
      </c>
      <c r="CM9" s="301">
        <f t="array" aca="1" ref="CM9" ca="1">IF(AND($BW$6:$BW$9=$BW$6,$BX$6:$BX$9&lt;90,$BY$6:$BY$9=$BY$6,$BZ$8=$BZ$9,$BZ$7&lt;&gt;$BZ$8),1,0)</f>
        <v>0</v>
      </c>
      <c r="CN9" s="301">
        <f t="array" aca="1" ref="CN9" ca="1">IF(AND($BW$6:$BW$8=$BW$6,$BX$6:$BX$7&lt;90,$BW$8&lt;&gt;$BW$9),1,0)</f>
        <v>0</v>
      </c>
      <c r="CO9" s="301">
        <f t="array" aca="1" ref="CO9" ca="1">IF(AND($BW$7&lt;&gt;$BW$6,$BW$7:$BW$9=$BW$8,$BX$7&gt;90,$BX$8:$BX$9&lt;90),1,0)</f>
        <v>0</v>
      </c>
      <c r="CP9" s="301">
        <f t="array" aca="1" ref="CP9" ca="1">IF(AND($BW$7&lt;&gt;$BW$6,$BW$7:$BW$9=$BW$7,$BX$9&gt;90,$BX$7:$BX$8&lt;90),1,0)</f>
        <v>0</v>
      </c>
      <c r="CQ9" s="301">
        <f t="array" aca="1" ref="CQ9" ca="1">IF(AND($BW$9&lt;&gt;$BW$7,$BW$9&lt;&gt;$BW$8),1,0)</f>
        <v>1</v>
      </c>
      <c r="CR9" s="301">
        <f t="array" aca="1" ref="CR9" ca="1">IF(AND($BW$6:$BW$9=$BW$7,$BX$7:$BX$9&lt;90,$BX$6&lt;&gt;$BX$9),1,0)</f>
        <v>0</v>
      </c>
      <c r="CS9" s="301">
        <f t="array" aca="1" ref="CS9" ca="1">IF(AND($BW$6:$BW$9=$BW$6,$BX$6:$BX$8&lt;90,$BX$8&lt;&gt;$BX$9),1,0)</f>
        <v>0</v>
      </c>
      <c r="CT9" s="301">
        <f t="array" aca="1" ref="CT9" ca="1">IF(AND($BW$6:$BW$9=$BW$9,$BX$6:$BX$7&gt;90,$BX$8:$BX$9&lt;90,$BY$6:$BY$9=$BY$9,$BZ$6&gt;$BZ$7,$BZ$7&gt;$BZ$9,$BZ$8=$BZ$9),1,0)</f>
        <v>0</v>
      </c>
      <c r="CU9" s="301">
        <f t="array" aca="1" ref="CU9" ca="1">IF(AND($BW$6:$BW$9=$BW$7,$BX$6&gt;90,$BX$7:$BX$8&lt;90,$BX$9&gt;90,$BY$6:$BY$9=$BY$9,$BZ$6&gt;$BZ$9,$BZ$7=$BZ$8,$BZ$7&gt;$BZ$9),1,0)</f>
        <v>0</v>
      </c>
      <c r="CV9" s="301">
        <f t="array" aca="1" ref="CV9" ca="1">IF(AND($BW$6:$BW$9=$BW$9,$BX$6:$BX$7&lt;90,$BX$8:$BX$9&gt;90,$BY$6:$BY$9=$BY$9,$BZ$6=$BZ$7,$BZ$7&gt;$BZ$8,$BZ$8&gt;$BZ$9),1,0)</f>
        <v>0</v>
      </c>
      <c r="CW9" s="301">
        <f t="array" aca="1" ref="CW9" ca="1">IF(AND($BW$6:$BW$9=$BW$9,$BX$6:$BX$7&gt;90,$BX$8:$BX$9&lt;90,$BY$6:$BY$9=$BY$9,$BZ$6&gt;$BZ$9,$BZ$7:$BZ$9=$BZ$9),1,0)</f>
        <v>0</v>
      </c>
      <c r="CX9" s="301">
        <f t="array" aca="1" ref="CX9" ca="1">IF(AND($BW$6:$BW$9=$BW$9,$BX$6:$BX$7&lt;90,$BX$8:$BX$9&gt;90,$BY$6:$BY$9=$BY$9,$BZ$6:$BZ$8=$BZ$8,$BZ$6:$BZ$8&gt;$BZ$9),1,0)</f>
        <v>0</v>
      </c>
      <c r="CY9" s="301">
        <f t="array" aca="1" ref="CY9" ca="1">IF(AND($BW$6:$BW$9=$BW$9,$BX$6&gt;90,$BX$9&gt;90,$BX$7:$BX$8&lt;90,$BY$6:$BY$9=$BY$9,$BZ$6&gt;$BZ$7:$BZ$9,$BZ$7:$BZ$9=$BZ$9),1,0)</f>
        <v>0</v>
      </c>
      <c r="CZ9" s="301"/>
      <c r="DA9" s="301"/>
      <c r="DB9" s="301"/>
      <c r="DC9" s="301"/>
      <c r="DD9" s="301"/>
      <c r="DE9" s="301"/>
      <c r="DF9" s="301"/>
      <c r="DG9" s="301"/>
      <c r="DH9" s="301"/>
      <c r="DI9" s="301"/>
      <c r="DJ9" s="301"/>
      <c r="DK9" s="301"/>
      <c r="DL9" s="301"/>
      <c r="DM9" s="301"/>
      <c r="DN9" s="301"/>
      <c r="DO9" s="301"/>
      <c r="DP9" s="301"/>
      <c r="DQ9" s="301"/>
    </row>
    <row r="10" spans="1:121 3565:3565 6820:6820 11323:11323" s="321" customFormat="1" ht="15.75" customHeight="1">
      <c r="A10" s="220"/>
      <c r="B10" s="252"/>
      <c r="C10" s="220"/>
      <c r="D10" s="286"/>
      <c r="E10" s="287"/>
      <c r="F10" s="288"/>
      <c r="G10" s="287"/>
      <c r="H10" s="289"/>
      <c r="I10" s="290"/>
      <c r="J10" s="291"/>
      <c r="K10" s="280"/>
      <c r="L10" s="280"/>
      <c r="M10" s="291"/>
      <c r="N10" s="292"/>
      <c r="O10" s="293"/>
      <c r="P10" s="291"/>
      <c r="Q10" s="294"/>
      <c r="R10" s="295"/>
      <c r="S10" s="296"/>
      <c r="T10" s="294"/>
      <c r="U10" s="294"/>
      <c r="V10" s="294"/>
      <c r="W10" s="294"/>
      <c r="X10" s="294"/>
      <c r="Y10" s="294"/>
      <c r="Z10" s="294"/>
      <c r="AA10" s="297"/>
      <c r="AB10" s="297"/>
      <c r="AC10" s="297"/>
      <c r="AD10" s="297"/>
      <c r="AE10" s="297"/>
      <c r="AF10" s="279"/>
      <c r="AG10" s="301"/>
      <c r="AH10" s="301"/>
      <c r="AI10" s="318"/>
      <c r="AJ10" s="301"/>
      <c r="AK10" s="301"/>
      <c r="AL10" s="301"/>
      <c r="AM10" s="301"/>
      <c r="AN10" s="301"/>
      <c r="AO10" s="301"/>
      <c r="AP10" s="301"/>
      <c r="AQ10" s="301"/>
      <c r="AR10" s="301"/>
      <c r="AS10" s="301"/>
      <c r="AT10" s="301"/>
      <c r="AU10" s="301"/>
      <c r="AV10" s="339"/>
      <c r="AW10" s="340"/>
      <c r="AX10" s="301"/>
      <c r="AY10" s="347"/>
      <c r="AZ10" s="301"/>
      <c r="BA10" s="301"/>
      <c r="BB10" s="348"/>
      <c r="BC10" s="348"/>
      <c r="BD10" s="348"/>
      <c r="BE10" s="348"/>
      <c r="BF10" s="348"/>
      <c r="BG10" s="348"/>
      <c r="BH10" s="348"/>
      <c r="BI10" s="348"/>
      <c r="BJ10" s="348"/>
      <c r="BK10" s="348"/>
      <c r="BL10" s="348"/>
      <c r="BM10" s="348"/>
      <c r="BN10" s="318"/>
      <c r="BO10" s="318"/>
      <c r="BP10" s="318"/>
      <c r="BQ10" s="318"/>
      <c r="BR10" s="318"/>
      <c r="BS10" s="318"/>
      <c r="BT10" s="318"/>
      <c r="BU10" s="318"/>
      <c r="BV10" s="318"/>
      <c r="BW10" s="318"/>
      <c r="BX10" s="318"/>
      <c r="BY10" s="318"/>
      <c r="BZ10" s="318"/>
      <c r="CA10" s="318"/>
      <c r="CB10" s="301"/>
      <c r="CC10" s="301"/>
      <c r="CD10" s="301"/>
      <c r="CE10" s="301"/>
      <c r="CF10" s="301"/>
      <c r="CG10" s="301"/>
      <c r="CH10" s="301"/>
      <c r="CI10" s="301"/>
      <c r="CJ10" s="301"/>
      <c r="CK10" s="301"/>
      <c r="CL10" s="301"/>
      <c r="CM10" s="301"/>
      <c r="CN10" s="301"/>
      <c r="CO10" s="301"/>
      <c r="CP10" s="301"/>
      <c r="CQ10" s="301"/>
      <c r="CR10" s="301"/>
      <c r="CS10" s="301"/>
      <c r="CT10" s="301"/>
      <c r="CU10" s="301"/>
      <c r="CV10" s="301"/>
      <c r="CW10" s="301"/>
      <c r="CX10" s="301"/>
      <c r="CY10" s="301"/>
      <c r="CZ10" s="301"/>
      <c r="DA10" s="301"/>
      <c r="DB10" s="301"/>
      <c r="DC10" s="301"/>
      <c r="DD10" s="301"/>
      <c r="DE10" s="301"/>
      <c r="DF10" s="301"/>
      <c r="DG10" s="301"/>
      <c r="DH10" s="301"/>
      <c r="DI10" s="301"/>
      <c r="DJ10" s="301"/>
      <c r="DK10" s="301"/>
      <c r="DL10" s="301"/>
      <c r="DM10" s="301"/>
      <c r="DN10" s="301"/>
      <c r="DO10" s="301"/>
      <c r="DP10" s="301"/>
      <c r="DQ10" s="301"/>
      <c r="PSM10" s="329" t="s">
        <v>20</v>
      </c>
    </row>
    <row r="11" spans="1:121 3565:3565 6820:6820 11323:11323" ht="15" thickBot="1">
      <c r="A11" s="220"/>
      <c r="B11" s="252"/>
      <c r="C11" s="220"/>
      <c r="D11" s="275"/>
      <c r="E11" s="279"/>
      <c r="F11" s="280" t="str">
        <f>F3</f>
        <v>Fecha</v>
      </c>
      <c r="G11" s="280" t="str">
        <f t="shared" ref="G11:N11" si="12">G3</f>
        <v>Hora</v>
      </c>
      <c r="H11" s="281" t="str">
        <f t="shared" si="12"/>
        <v>Jor.</v>
      </c>
      <c r="I11" s="282" t="str">
        <f t="shared" si="12"/>
        <v>Casa</v>
      </c>
      <c r="J11" s="280"/>
      <c r="K11" s="283" t="str">
        <f t="shared" si="12"/>
        <v>Gol</v>
      </c>
      <c r="L11" s="283" t="str">
        <f t="shared" si="12"/>
        <v>Gol</v>
      </c>
      <c r="M11" s="283"/>
      <c r="N11" s="284" t="str">
        <f t="shared" si="12"/>
        <v>Fuera</v>
      </c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7"/>
      <c r="AA11" s="278"/>
      <c r="AB11" s="278"/>
      <c r="AC11" s="278"/>
      <c r="AD11" s="278"/>
      <c r="AE11" s="278"/>
      <c r="AF11" s="225"/>
      <c r="AG11" s="226"/>
      <c r="AH11" s="226"/>
      <c r="AI11" s="226"/>
      <c r="AJ11" s="226"/>
      <c r="AK11" s="226"/>
      <c r="AL11" s="226"/>
      <c r="AM11" s="226"/>
      <c r="AN11" s="226"/>
      <c r="AO11" s="226"/>
      <c r="AP11" s="226"/>
      <c r="AQ11" s="226"/>
      <c r="AR11" s="226"/>
      <c r="AS11" s="226"/>
      <c r="AT11" s="226"/>
      <c r="AU11" s="226"/>
      <c r="AV11" s="230"/>
      <c r="AW11" s="231"/>
      <c r="AX11" s="226"/>
      <c r="AY11" s="226"/>
      <c r="AZ11" s="226"/>
      <c r="BA11" s="226"/>
      <c r="BB11" s="226"/>
      <c r="BC11" s="226"/>
      <c r="BD11" s="226"/>
      <c r="BE11" s="226"/>
      <c r="BF11" s="226"/>
      <c r="BG11" s="226"/>
      <c r="BH11" s="226"/>
      <c r="BI11" s="226"/>
      <c r="BJ11" s="226"/>
      <c r="BK11" s="226"/>
      <c r="BL11" s="226"/>
      <c r="BM11" s="226"/>
      <c r="BN11" s="226"/>
      <c r="BO11" s="226"/>
      <c r="BP11" s="226"/>
      <c r="BQ11" s="226"/>
      <c r="BR11" s="226"/>
      <c r="BS11" s="226"/>
      <c r="BT11" s="226"/>
      <c r="BU11" s="226"/>
      <c r="BV11" s="226"/>
      <c r="BW11" s="226"/>
      <c r="BX11" s="226"/>
      <c r="BY11" s="226"/>
      <c r="BZ11" s="226"/>
      <c r="CA11" s="227"/>
      <c r="CB11" s="226"/>
      <c r="CC11" s="226"/>
      <c r="CD11" s="225">
        <v>1</v>
      </c>
      <c r="CE11" s="225">
        <v>12</v>
      </c>
      <c r="CF11" s="225">
        <v>18</v>
      </c>
      <c r="CG11" s="225">
        <v>19</v>
      </c>
      <c r="CH11" s="225">
        <v>13</v>
      </c>
      <c r="CI11" s="225">
        <v>20</v>
      </c>
      <c r="CJ11" s="225">
        <v>21</v>
      </c>
      <c r="CK11" s="225">
        <v>22</v>
      </c>
      <c r="CL11" s="225">
        <v>3</v>
      </c>
      <c r="CM11" s="225">
        <v>2</v>
      </c>
      <c r="CN11" s="225">
        <v>14</v>
      </c>
      <c r="CO11" s="225">
        <v>17</v>
      </c>
      <c r="CP11" s="225">
        <v>16</v>
      </c>
      <c r="CQ11" s="225">
        <v>15</v>
      </c>
      <c r="CR11" s="225">
        <v>4</v>
      </c>
      <c r="CS11" s="225">
        <v>5</v>
      </c>
      <c r="CT11" s="225">
        <v>10</v>
      </c>
      <c r="CU11" s="225">
        <v>8</v>
      </c>
      <c r="CV11" s="225">
        <v>6</v>
      </c>
      <c r="CW11" s="225">
        <v>11</v>
      </c>
      <c r="CX11" s="225">
        <v>7</v>
      </c>
      <c r="CY11" s="225">
        <v>9</v>
      </c>
      <c r="CZ11" s="225" t="s">
        <v>75</v>
      </c>
      <c r="DA11" s="225" t="s">
        <v>75</v>
      </c>
      <c r="DB11" s="226"/>
      <c r="DC11" s="226"/>
      <c r="DD11" s="226"/>
      <c r="DE11" s="226"/>
      <c r="DF11" s="227" t="s">
        <v>55</v>
      </c>
      <c r="DG11" s="227" t="s">
        <v>56</v>
      </c>
      <c r="DH11" s="227" t="s">
        <v>58</v>
      </c>
      <c r="DI11" s="227" t="s">
        <v>59</v>
      </c>
      <c r="DJ11" s="227" t="s">
        <v>60</v>
      </c>
      <c r="DK11" s="227" t="s">
        <v>61</v>
      </c>
      <c r="DL11" s="227" t="s">
        <v>62</v>
      </c>
      <c r="DM11" s="227" t="s">
        <v>63</v>
      </c>
      <c r="DN11" s="227" t="s">
        <v>64</v>
      </c>
      <c r="DO11" s="227" t="s">
        <v>65</v>
      </c>
      <c r="DP11" s="226"/>
      <c r="DQ11" s="226"/>
    </row>
    <row r="12" spans="1:121 3565:3565 6820:6820 11323:11323" ht="15" customHeight="1">
      <c r="A12" s="352" t="s">
        <v>87</v>
      </c>
      <c r="B12" s="353" t="s">
        <v>1</v>
      </c>
      <c r="C12" s="275">
        <f>COUNTIF(Equipos!$C$2:$C$13,'COPA AMERICA'!B12)</f>
        <v>4</v>
      </c>
      <c r="D12" s="286"/>
      <c r="E12" s="431" t="s">
        <v>1</v>
      </c>
      <c r="F12" s="181">
        <v>43631</v>
      </c>
      <c r="G12" s="182">
        <f t="shared" ref="G12:G17" si="13">BV46+VLOOKUP($G$2,$BO$39:$BS$51,4,0)*VLOOKUP($G$2,$BO$39:$BS$51,5,0)</f>
        <v>43631.791666666664</v>
      </c>
      <c r="H12" s="181" t="s">
        <v>82</v>
      </c>
      <c r="I12" s="183" t="str">
        <f ca="1">A13</f>
        <v>Argentina</v>
      </c>
      <c r="J12" s="184"/>
      <c r="K12" s="185">
        <v>0</v>
      </c>
      <c r="L12" s="185">
        <v>2</v>
      </c>
      <c r="M12" s="186"/>
      <c r="N12" s="187" t="str">
        <f ca="1">A14</f>
        <v>Colombia</v>
      </c>
      <c r="O12" s="293">
        <f>IF(NOT(OR(ISBLANK(K12),ISBLANK(L12))),1,0)</f>
        <v>1</v>
      </c>
      <c r="P12" s="291"/>
      <c r="Q12" s="197" t="str">
        <f>CONCATENATE("Grupo"," ",B12)</f>
        <v>Grupo B</v>
      </c>
      <c r="R12" s="198"/>
      <c r="S12" s="198"/>
      <c r="T12" s="198"/>
      <c r="U12" s="198"/>
      <c r="V12" s="198"/>
      <c r="W12" s="198"/>
      <c r="X12" s="198"/>
      <c r="Y12" s="198"/>
      <c r="Z12" s="199"/>
      <c r="AA12" s="338"/>
      <c r="AB12" s="434" t="s">
        <v>80</v>
      </c>
      <c r="AC12" s="434"/>
      <c r="AD12" s="434"/>
      <c r="AE12" s="303"/>
      <c r="AF12" s="225"/>
      <c r="AG12" s="226"/>
      <c r="AH12" s="226" t="str">
        <f>CONCATENATE("Auxiliar - ",Q12)</f>
        <v>Auxiliar - Grupo B</v>
      </c>
      <c r="AI12" s="226"/>
      <c r="AJ12" s="226"/>
      <c r="AK12" s="226"/>
      <c r="AL12" s="226"/>
      <c r="AM12" s="226"/>
      <c r="AN12" s="226"/>
      <c r="AO12" s="226"/>
      <c r="AP12" s="226"/>
      <c r="AQ12" s="226"/>
      <c r="AR12" s="226"/>
      <c r="AS12" s="226"/>
      <c r="AT12" s="226"/>
      <c r="AU12" s="226" t="s">
        <v>52</v>
      </c>
      <c r="AV12" s="230"/>
      <c r="AW12" s="231"/>
      <c r="AX12" s="226"/>
      <c r="AY12" s="225" t="str">
        <f>CONCATENATE(Q12," - GOLAVERAGE")</f>
        <v>Grupo B - GOLAVERAGE</v>
      </c>
      <c r="AZ12" s="226"/>
      <c r="BA12" s="226"/>
      <c r="BB12" s="435" t="s">
        <v>30</v>
      </c>
      <c r="BC12" s="435"/>
      <c r="BD12" s="435"/>
      <c r="BE12" s="435"/>
      <c r="BF12" s="435"/>
      <c r="BG12" s="435"/>
      <c r="BH12" s="435" t="s">
        <v>29</v>
      </c>
      <c r="BI12" s="435"/>
      <c r="BJ12" s="435"/>
      <c r="BK12" s="435"/>
      <c r="BL12" s="435"/>
      <c r="BM12" s="435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6" t="s">
        <v>77</v>
      </c>
      <c r="CC12" s="226" t="s">
        <v>78</v>
      </c>
      <c r="CD12" s="226">
        <f ca="1">SUM(CD14:CD17)</f>
        <v>0</v>
      </c>
      <c r="CE12" s="226">
        <f t="shared" ref="CE12:DA12" ca="1" si="14">SUM(CE14:CE17)</f>
        <v>0</v>
      </c>
      <c r="CF12" s="226">
        <f t="shared" ca="1" si="14"/>
        <v>0</v>
      </c>
      <c r="CG12" s="226">
        <f t="shared" ca="1" si="14"/>
        <v>2</v>
      </c>
      <c r="CH12" s="226">
        <f t="shared" ca="1" si="14"/>
        <v>0</v>
      </c>
      <c r="CI12" s="226">
        <f t="shared" ca="1" si="14"/>
        <v>2</v>
      </c>
      <c r="CJ12" s="226">
        <f t="shared" ca="1" si="14"/>
        <v>2</v>
      </c>
      <c r="CK12" s="226">
        <f t="shared" ca="1" si="14"/>
        <v>4</v>
      </c>
      <c r="CL12" s="226">
        <f t="shared" ca="1" si="14"/>
        <v>0</v>
      </c>
      <c r="CM12" s="226">
        <f t="shared" ca="1" si="14"/>
        <v>0</v>
      </c>
      <c r="CN12" s="226">
        <f t="shared" ca="1" si="14"/>
        <v>0</v>
      </c>
      <c r="CO12" s="226">
        <f t="shared" ca="1" si="14"/>
        <v>1</v>
      </c>
      <c r="CP12" s="226">
        <f t="shared" ca="1" si="14"/>
        <v>1</v>
      </c>
      <c r="CQ12" s="226">
        <f t="shared" ca="1" si="14"/>
        <v>1</v>
      </c>
      <c r="CR12" s="226">
        <f t="shared" ca="1" si="14"/>
        <v>0</v>
      </c>
      <c r="CS12" s="226">
        <f t="shared" ca="1" si="14"/>
        <v>0</v>
      </c>
      <c r="CT12" s="226">
        <f t="shared" ca="1" si="14"/>
        <v>0</v>
      </c>
      <c r="CU12" s="226">
        <f t="shared" ca="1" si="14"/>
        <v>0</v>
      </c>
      <c r="CV12" s="226">
        <f t="shared" ca="1" si="14"/>
        <v>0</v>
      </c>
      <c r="CW12" s="226">
        <f t="shared" ca="1" si="14"/>
        <v>0</v>
      </c>
      <c r="CX12" s="226">
        <f t="shared" ca="1" si="14"/>
        <v>0</v>
      </c>
      <c r="CY12" s="226">
        <f t="shared" ca="1" si="14"/>
        <v>0</v>
      </c>
      <c r="CZ12" s="226">
        <f t="shared" si="14"/>
        <v>0</v>
      </c>
      <c r="DA12" s="226">
        <f t="shared" si="14"/>
        <v>0</v>
      </c>
      <c r="DB12" s="226"/>
      <c r="DC12" s="226"/>
      <c r="DD12" s="226"/>
      <c r="DE12" s="226"/>
      <c r="DF12" s="227">
        <v>1234</v>
      </c>
      <c r="DG12" s="227">
        <v>123</v>
      </c>
      <c r="DH12" s="227">
        <v>12</v>
      </c>
      <c r="DI12" s="227">
        <v>234</v>
      </c>
      <c r="DJ12" s="227">
        <v>34</v>
      </c>
      <c r="DK12" s="227">
        <v>23</v>
      </c>
      <c r="DL12" s="227">
        <v>1</v>
      </c>
      <c r="DM12" s="227">
        <v>2</v>
      </c>
      <c r="DN12" s="227">
        <v>3</v>
      </c>
      <c r="DO12" s="227">
        <v>4</v>
      </c>
      <c r="DP12" s="226"/>
      <c r="DQ12" s="226"/>
    </row>
    <row r="13" spans="1:121 3565:3565 6820:6820 11323:11323" ht="15" thickBot="1">
      <c r="A13" s="352" t="str">
        <f t="array" aca="1" ref="A13" ca="1">IF(ROWS(A$13:A13)&lt;=$C$12,INDEX(INDIRECT(A$12),SMALL(IF(Nivell=$B$12,ROW(Nivell)-ROW(Equipos!$C$2)+1),ROWS(B$12:B12))),"")</f>
        <v>Argentina</v>
      </c>
      <c r="B13" s="353"/>
      <c r="C13" s="353"/>
      <c r="D13" s="286"/>
      <c r="E13" s="432"/>
      <c r="F13" s="174">
        <v>43632</v>
      </c>
      <c r="G13" s="175">
        <f t="shared" si="13"/>
        <v>43632.666666666664</v>
      </c>
      <c r="H13" s="174" t="s">
        <v>82</v>
      </c>
      <c r="I13" s="176" t="str">
        <f ca="1">A15</f>
        <v>Paraguay</v>
      </c>
      <c r="J13" s="177"/>
      <c r="K13" s="178">
        <v>2</v>
      </c>
      <c r="L13" s="178">
        <v>2</v>
      </c>
      <c r="M13" s="179"/>
      <c r="N13" s="188" t="str">
        <f ca="1">A16</f>
        <v>Catar</v>
      </c>
      <c r="O13" s="293">
        <f t="shared" ref="O13:O17" si="15">IF(NOT(OR(ISBLANK(K13),ISBLANK(L13))),1,0)</f>
        <v>1</v>
      </c>
      <c r="P13" s="291"/>
      <c r="Q13" s="200" t="s">
        <v>19</v>
      </c>
      <c r="R13" s="201" t="s">
        <v>170</v>
      </c>
      <c r="S13" s="202" t="s">
        <v>89</v>
      </c>
      <c r="T13" s="202" t="s">
        <v>6</v>
      </c>
      <c r="U13" s="202" t="s">
        <v>7</v>
      </c>
      <c r="V13" s="202" t="s">
        <v>3</v>
      </c>
      <c r="W13" s="202" t="s">
        <v>8</v>
      </c>
      <c r="X13" s="202" t="s">
        <v>9</v>
      </c>
      <c r="Y13" s="202" t="s">
        <v>10</v>
      </c>
      <c r="Z13" s="203" t="s">
        <v>167</v>
      </c>
      <c r="AA13" s="341">
        <f ca="1">COUNTIF(AA14:AA17,"&lt;100")</f>
        <v>0</v>
      </c>
      <c r="AB13" s="434"/>
      <c r="AC13" s="434"/>
      <c r="AD13" s="434"/>
      <c r="AE13" s="305"/>
      <c r="AF13" s="225"/>
      <c r="AG13" s="228" t="s">
        <v>52</v>
      </c>
      <c r="AH13" s="228" t="s">
        <v>14</v>
      </c>
      <c r="AI13" s="228" t="s">
        <v>5</v>
      </c>
      <c r="AJ13" s="228" t="s">
        <v>15</v>
      </c>
      <c r="AK13" s="228" t="s">
        <v>6</v>
      </c>
      <c r="AL13" s="228" t="s">
        <v>7</v>
      </c>
      <c r="AM13" s="228" t="s">
        <v>3</v>
      </c>
      <c r="AN13" s="228" t="s">
        <v>8</v>
      </c>
      <c r="AO13" s="228" t="s">
        <v>9</v>
      </c>
      <c r="AP13" s="228" t="s">
        <v>10</v>
      </c>
      <c r="AQ13" s="228" t="s">
        <v>12</v>
      </c>
      <c r="AR13" s="228" t="s">
        <v>16</v>
      </c>
      <c r="AS13" s="228" t="s">
        <v>14</v>
      </c>
      <c r="AT13" s="226"/>
      <c r="AU13" s="226"/>
      <c r="AV13" s="230"/>
      <c r="AW13" s="231"/>
      <c r="AX13" s="226"/>
      <c r="AY13" s="228" t="s">
        <v>5</v>
      </c>
      <c r="AZ13" s="240" t="s">
        <v>31</v>
      </c>
      <c r="BA13" s="235" t="s">
        <v>34</v>
      </c>
      <c r="BB13" s="240" t="s">
        <v>33</v>
      </c>
      <c r="BC13" s="240" t="s">
        <v>28</v>
      </c>
      <c r="BD13" s="235" t="str">
        <f ca="1">AY14</f>
        <v>Argentina</v>
      </c>
      <c r="BE13" s="235" t="str">
        <f ca="1">AY15</f>
        <v>Colombia</v>
      </c>
      <c r="BF13" s="235" t="str">
        <f ca="1">AY16</f>
        <v>Paraguay</v>
      </c>
      <c r="BG13" s="235" t="str">
        <f ca="1">AY17</f>
        <v>Catar</v>
      </c>
      <c r="BH13" s="240" t="s">
        <v>33</v>
      </c>
      <c r="BI13" s="240" t="s">
        <v>28</v>
      </c>
      <c r="BJ13" s="235" t="str">
        <f ca="1">BD13</f>
        <v>Argentina</v>
      </c>
      <c r="BK13" s="235" t="str">
        <f t="shared" ref="BK13" ca="1" si="16">BE13</f>
        <v>Colombia</v>
      </c>
      <c r="BL13" s="235" t="str">
        <f t="shared" ref="BL13" ca="1" si="17">BF13</f>
        <v>Paraguay</v>
      </c>
      <c r="BM13" s="235" t="str">
        <f t="shared" ref="BM13" ca="1" si="18">BG13</f>
        <v>Catar</v>
      </c>
      <c r="BN13" s="227"/>
      <c r="BO13" s="229"/>
      <c r="BP13" s="229" t="s">
        <v>53</v>
      </c>
      <c r="BQ13" s="229"/>
      <c r="BR13" s="229" t="s">
        <v>54</v>
      </c>
      <c r="BS13" s="229"/>
      <c r="BT13" s="227"/>
      <c r="BU13" s="229"/>
      <c r="BV13" s="229" t="s">
        <v>5</v>
      </c>
      <c r="BW13" s="229" t="s">
        <v>15</v>
      </c>
      <c r="BX13" s="229" t="s">
        <v>73</v>
      </c>
      <c r="BY13" s="229" t="s">
        <v>12</v>
      </c>
      <c r="BZ13" s="229" t="s">
        <v>74</v>
      </c>
      <c r="CA13" s="227"/>
      <c r="CB13" s="226"/>
      <c r="CC13" s="226" t="s">
        <v>79</v>
      </c>
      <c r="CD13" s="226" t="s">
        <v>57</v>
      </c>
      <c r="CE13" s="226" t="s">
        <v>66</v>
      </c>
      <c r="CF13" s="226" t="s">
        <v>67</v>
      </c>
      <c r="CG13" s="226" t="s">
        <v>68</v>
      </c>
      <c r="CH13" s="226" t="s">
        <v>69</v>
      </c>
      <c r="CI13" s="226" t="s">
        <v>70</v>
      </c>
      <c r="CJ13" s="226" t="s">
        <v>71</v>
      </c>
      <c r="CK13" s="226" t="s">
        <v>72</v>
      </c>
      <c r="CL13" s="226" t="s">
        <v>67</v>
      </c>
      <c r="CM13" s="226" t="s">
        <v>67</v>
      </c>
      <c r="CN13" s="226" t="s">
        <v>68</v>
      </c>
      <c r="CO13" s="226" t="s">
        <v>71</v>
      </c>
      <c r="CP13" s="226" t="s">
        <v>70</v>
      </c>
      <c r="CQ13" s="226" t="s">
        <v>70</v>
      </c>
      <c r="CR13" s="226" t="s">
        <v>69</v>
      </c>
      <c r="CS13" s="226" t="s">
        <v>66</v>
      </c>
      <c r="CT13" s="226" t="s">
        <v>71</v>
      </c>
      <c r="CU13" s="226" t="s">
        <v>70</v>
      </c>
      <c r="CV13" s="226" t="s">
        <v>68</v>
      </c>
      <c r="CW13" s="226" t="s">
        <v>71</v>
      </c>
      <c r="CX13" s="226" t="s">
        <v>68</v>
      </c>
      <c r="CY13" s="226" t="s">
        <v>70</v>
      </c>
      <c r="CZ13" s="226"/>
      <c r="DA13" s="226"/>
      <c r="DB13" s="226"/>
      <c r="DC13" s="226"/>
      <c r="DD13" s="226"/>
      <c r="DE13" s="226"/>
      <c r="DF13" s="227">
        <v>1</v>
      </c>
      <c r="DG13" s="227">
        <v>1</v>
      </c>
      <c r="DH13" s="227">
        <v>1</v>
      </c>
      <c r="DI13" s="227">
        <v>2</v>
      </c>
      <c r="DJ13" s="227">
        <v>3</v>
      </c>
      <c r="DK13" s="227">
        <v>2</v>
      </c>
      <c r="DL13" s="227">
        <v>1</v>
      </c>
      <c r="DM13" s="227">
        <v>2</v>
      </c>
      <c r="DN13" s="227">
        <v>3</v>
      </c>
      <c r="DO13" s="227">
        <v>4</v>
      </c>
      <c r="DP13" s="226"/>
      <c r="DQ13" s="226"/>
    </row>
    <row r="14" spans="1:121 3565:3565 6820:6820 11323:11323">
      <c r="A14" s="352" t="str">
        <f t="array" aca="1" ref="A14" ca="1">IF(ROWS(A$13:A14)&lt;=$C$12,INDEX(INDIRECT(A$12),SMALL(IF(Nivell=$B$12,ROW(Nivell)-ROW(Equipos!$C$2)+1),ROWS(B$12:B13))),"")</f>
        <v>Colombia</v>
      </c>
      <c r="B14" s="353"/>
      <c r="C14" s="354"/>
      <c r="D14" s="286"/>
      <c r="E14" s="432"/>
      <c r="F14" s="174">
        <v>43635</v>
      </c>
      <c r="G14" s="175">
        <f t="shared" si="13"/>
        <v>43635.895833333336</v>
      </c>
      <c r="H14" s="174" t="s">
        <v>83</v>
      </c>
      <c r="I14" s="176" t="str">
        <f ca="1">A13</f>
        <v>Argentina</v>
      </c>
      <c r="J14" s="177"/>
      <c r="K14" s="178">
        <v>1</v>
      </c>
      <c r="L14" s="178">
        <v>1</v>
      </c>
      <c r="M14" s="179"/>
      <c r="N14" s="188" t="str">
        <f ca="1">A15</f>
        <v>Paraguay</v>
      </c>
      <c r="O14" s="293">
        <f t="shared" si="15"/>
        <v>1</v>
      </c>
      <c r="P14" s="291"/>
      <c r="Q14" s="204">
        <v>1</v>
      </c>
      <c r="R14" s="205" t="str">
        <f ca="1">VLOOKUP(Q14,$AG$14:$AI$17,3,0)</f>
        <v>Colombia</v>
      </c>
      <c r="S14" s="206">
        <f ca="1">VLOOKUP(R14,$AI$14:$AR$17,2,FALSE)</f>
        <v>9</v>
      </c>
      <c r="T14" s="206">
        <f ca="1">VLOOKUP($R14,$AI$14:$AR$17,3,FALSE)</f>
        <v>3</v>
      </c>
      <c r="U14" s="206">
        <f ca="1">VLOOKUP($R14,$AI$14:$AR$17,4,FALSE)</f>
        <v>3</v>
      </c>
      <c r="V14" s="206">
        <f ca="1">VLOOKUP($R14,$AI$14:$AR$17,5,FALSE)</f>
        <v>0</v>
      </c>
      <c r="W14" s="206">
        <f ca="1">VLOOKUP($R14,$AI$14:$AR$17,6,FALSE)</f>
        <v>0</v>
      </c>
      <c r="X14" s="206">
        <f ca="1">VLOOKUP($R14,$AI$14:$AR$17,7,FALSE)</f>
        <v>4</v>
      </c>
      <c r="Y14" s="206">
        <f ca="1">VLOOKUP($R14,$AI$14:$AR$17,8,FALSE)</f>
        <v>0</v>
      </c>
      <c r="Z14" s="207">
        <f ca="1">VLOOKUP($R14,$AI$14:$AR$17,9,FALSE)</f>
        <v>4</v>
      </c>
      <c r="AA14" s="297">
        <f ca="1">IF(SUM($AK$14:$AK$17)=12,MIN(ABS(BS13-BS14),ABS(BS14-BS15)),100)</f>
        <v>5040099999.9900007</v>
      </c>
      <c r="AB14" s="345" t="str">
        <f ca="1">IF(AND(AA14&gt;=0,AA14&lt;90),VLOOKUP(Q14,$BO$14:$BP$17,2,0),"")</f>
        <v/>
      </c>
      <c r="AC14" s="346"/>
      <c r="AD14" s="297"/>
      <c r="AE14" s="297"/>
      <c r="AF14" s="225">
        <f ca="1">VLOOKUP($R14,$AI$14:$AR$17,10,FALSE)</f>
        <v>9040410999.9400005</v>
      </c>
      <c r="AG14" s="226">
        <f ca="1">RANK(AU14,$AU$14:$AU$17)</f>
        <v>2</v>
      </c>
      <c r="AH14" s="226">
        <f ca="1">RANK(AR14,$AR$14:$AR$17)</f>
        <v>2</v>
      </c>
      <c r="AI14" s="227" t="str">
        <f ca="1">A13</f>
        <v>Argentina</v>
      </c>
      <c r="AJ14" s="226">
        <f ca="1">AL14*3+AM14*1+AN14*0</f>
        <v>4</v>
      </c>
      <c r="AK14" s="226">
        <f ca="1">COUNTIFS($I$12:$I$17,AI14,$K$12:$K$17,"&lt;&gt;",$L$12:$L$17,"&lt;&gt;")+COUNTIFS($N$12:$N$17,AI14,$L$12:$L$17,"&lt;&gt;",$K$12:$K$17,"&lt;&gt;")</f>
        <v>3</v>
      </c>
      <c r="AL14" s="226">
        <f t="array" aca="1" ref="AL14" ca="1">SUM((I$12:I$17=AI14)*(K$12:K$17&lt;&gt;"")*(L$12:L$17&lt;&gt;"")*(K$12:K$17&gt;L$12:L$17),(N$12:N$17=AI14)*(K$12:K$17&lt;&gt;"")*(L$12:L$17&lt;&gt;"")*(K$12:K$17&lt;L$12:L$17))</f>
        <v>1</v>
      </c>
      <c r="AM14" s="226">
        <f t="array" aca="1" ref="AM14" ca="1">SUM((I$12:I$17=AI14)*(K$12:K$17&lt;&gt;"")*(L$12:L$17&lt;&gt;"")*(K$12:K$17=L$12:L$17),(N$12:N$17=AI14)*(K$12:K$17&lt;&gt;"")*(L$12:L$17&lt;&gt;"")*(K$12:K$17=L$12:L$17))</f>
        <v>1</v>
      </c>
      <c r="AN14" s="226">
        <f t="array" aca="1" ref="AN14" ca="1">SUM((I$12:I$17=AI14)*(L$12:L$17&lt;&gt;"")*(K$12:K$17&lt;&gt;"")*(K$12:K$17&lt;L$12:L$17),(K$12:K$17&lt;&gt;"")*(N$12:N$17=AI14)*(L$12:L$17&lt;&gt;"")*(K$12:K$17&gt;L$12:L$17))</f>
        <v>1</v>
      </c>
      <c r="AO14" s="226">
        <f t="array" aca="1" ref="AO14" ca="1">SUMIFS($K$12:$K$17,$I$12:$I$17,AI14,$K$12:$K$17,"&lt;&gt;",$L$12:$L$17,"&lt;&gt;")+SUMIFS($L$12:$L$17,$N$12:$N$17,AI14,$K$12:$K$17,"&lt;&gt;",$L$12:$L$17,"&lt;&gt;")</f>
        <v>3</v>
      </c>
      <c r="AP14" s="226">
        <f t="array" aca="1" ref="AP14" ca="1">SUMIFS($K$12:$K$17,$N$12:$N$17,AI14,$K$12:$K$17,"&lt;&gt;",$L$12:$L$17,"&lt;&gt;")+SUMIFS($L$12:$L$17,$I$12:$I$17,AI14,$K$12:$K$17,"&lt;&gt;",$L$12:$L$17,"&lt;&gt;")</f>
        <v>3</v>
      </c>
      <c r="AQ14" s="226">
        <f ca="1">AO14-AP14</f>
        <v>0</v>
      </c>
      <c r="AR14" s="226">
        <f ca="1">IF(AK14=0,-($AW$9*VLOOKUP(AI14,Tabla3[[NombreEquipo]:[Rank]],3,FALSE)),AJ14*$AW$4+AQ14*$AW$5+AO14*$AW$6+BA14-($AW$9*VLOOKUP(AI14,Tabla3[[NombreEquipo]:[Rank]],3,FALSE)/100))</f>
        <v>4000310999.9499998</v>
      </c>
      <c r="AS14" s="226">
        <f ca="1">AH14</f>
        <v>2</v>
      </c>
      <c r="AT14" s="226"/>
      <c r="AU14" s="226">
        <f ca="1">IFERROR(AR14-VLOOKUP(AI14,$AB$14:$AC$17,2,0),AR14)</f>
        <v>4000310999.9499998</v>
      </c>
      <c r="AV14" s="230"/>
      <c r="AW14" s="231"/>
      <c r="AX14" s="226"/>
      <c r="AY14" s="232" t="str">
        <f ca="1">AI14</f>
        <v>Argentina</v>
      </c>
      <c r="AZ14" s="226">
        <f ca="1">COUNTIF(AJ14:AJ17,AJ14)</f>
        <v>1</v>
      </c>
      <c r="BA14" s="226">
        <f ca="1">(BB14*$AW$8)+(BH14*$AW$7)</f>
        <v>11000</v>
      </c>
      <c r="BB14" s="233">
        <f ca="1">RANK(BC14,BC14:BC17,1)</f>
        <v>1</v>
      </c>
      <c r="BC14" s="233">
        <f ca="1">SUM(IF(AND(AJ14=AJ15,AQ14=AQ15,AO14=AO15),BE14,0),IF(AND(AJ14=AJ16,AQ14=AQ16,AO14=AO16),BF14,0),IF(AND(AJ14=AJ17,AQ14=AQ17,AO14=AO17),BG14,0))</f>
        <v>0</v>
      </c>
      <c r="BD14" s="233">
        <v>0</v>
      </c>
      <c r="BE14" s="233">
        <f t="array" aca="1" ref="BE14" ca="1">SUMIFS($K$12:$K$17,$I$12:$I$17,$AY14,$K$12:$K$17,"&lt;&gt;",$L$12:$L$17,"&lt;&gt;",$N$12:$N$17,BE13)+SUMIFS($L$12:$L$17,$I$12:$I$17,BE13,$K$12:$K$17,"&lt;&gt;",$L$12:$L$17,"&lt;&gt;",$N$12:$N$17,$AY14)</f>
        <v>0</v>
      </c>
      <c r="BF14" s="233">
        <f t="array" aca="1" ref="BF14" ca="1">SUMIFS($K$12:$K$17,$I$12:$I$17,$AY14,$K$12:$K$17,"&lt;&gt;",$L$12:$L$17,"&lt;&gt;",$N$12:$N$17,BF13)+SUMIFS($L$12:$L$17,$I$12:$I$17,BF13,$K$12:$K$17,"&lt;&gt;",$L$12:$L$17,"&lt;&gt;",$N$12:$N$17,$AY14)</f>
        <v>1</v>
      </c>
      <c r="BG14" s="233">
        <f t="array" aca="1" ref="BG14" ca="1">SUMIFS($K$12:$K$17,$I$12:$I$17,$AY14,$K$12:$K$17,"&lt;&gt;",$L$12:$L$17,"&lt;&gt;",$N$12:$N$17,BG13)+SUMIFS($L$12:$L$17,$I$12:$I$17,BG13,$K$12:$K$17,"&lt;&gt;",$L$12:$L$17,"&lt;&gt;",$N$12:$N$17,$AY14)</f>
        <v>2</v>
      </c>
      <c r="BH14" s="233">
        <f ca="1">RANK(BI14,BI14:BI17,1)</f>
        <v>1</v>
      </c>
      <c r="BI14" s="233">
        <f ca="1">SUM(IF(AND(AJ14=AJ15,AQ14=AQ15,AO14=AO15),BK14,0),IF(AND(AJ14=AJ16,AQ14=AQ16,AO14=AO16),BL14,0),IF(AND(AJ14=AJ17,AQ14=AQ17,AO14=AO17),BM14,0))</f>
        <v>0</v>
      </c>
      <c r="BJ14" s="233">
        <v>0</v>
      </c>
      <c r="BK14" s="233">
        <f ca="1">BE14-BD15</f>
        <v>-2</v>
      </c>
      <c r="BL14" s="233">
        <f ca="1">BF14-BD16</f>
        <v>0</v>
      </c>
      <c r="BM14" s="233">
        <f ca="1">BG14-BD17</f>
        <v>2</v>
      </c>
      <c r="BN14" s="227">
        <v>1</v>
      </c>
      <c r="BO14" s="227">
        <f ca="1">RANK(BQ14,$BQ$14:$BQ$17)</f>
        <v>2</v>
      </c>
      <c r="BP14" s="227" t="str">
        <f ca="1">A13</f>
        <v>Argentina</v>
      </c>
      <c r="BQ14" s="227">
        <f ca="1">IF(AK14=0,-($AW$9*VLOOKUP(AI14,Tabla3[[NombreEquipo]:[Rank]],3,FALSE)),AJ14*$AW$4+AQ14*$AW$5+AO14*$AW$6+BA14-($AW$9*VLOOKUP(AI14,Tabla3[[NombreEquipo]:[Rank]],3,FALSE)/100))</f>
        <v>4000310999.9499998</v>
      </c>
      <c r="BR14" s="227" t="str">
        <f ca="1">VLOOKUP(Q14,$AH$14:$AI$17,2,0)</f>
        <v>Colombia</v>
      </c>
      <c r="BS14" s="227">
        <f ca="1">VLOOKUP($BR14,$AI$14:$AR$17,10,FALSE)</f>
        <v>9040410999.9400005</v>
      </c>
      <c r="BT14" s="227"/>
      <c r="BU14" s="227">
        <v>1</v>
      </c>
      <c r="BV14" s="227" t="str">
        <f ca="1">VLOOKUP(BU14,$AH$14:$AI$17,2,0)</f>
        <v>Colombia</v>
      </c>
      <c r="BW14" s="227">
        <f ca="1">VLOOKUP(BV14,$AI$14:$AR$17,2,FALSE)</f>
        <v>9</v>
      </c>
      <c r="BX14" s="234">
        <f ca="1">IF(SUM($AK$14:$AK$17)=12,MIN(ABS(BS13-BS14),ABS(BS14-BS15)),100)</f>
        <v>5040099999.9900007</v>
      </c>
      <c r="BY14" s="227">
        <f ca="1">VLOOKUP($BV14,$AI$14:$AR$17,9,FALSE)</f>
        <v>4</v>
      </c>
      <c r="BZ14" s="227">
        <f ca="1">VLOOKUP($BV14,$AI$14:$AR$17,7,FALSE)</f>
        <v>4</v>
      </c>
      <c r="CA14" s="227">
        <f t="array" aca="1" ref="CA14" ca="1">IF($CB$14=$CD$13,$DF$13:$DF$16,IF($CB$14=$CE$13,$DG$13:$DG$15,IF(OR($CB$14=$CF$13,$CB$14=$CG$13),$DH$13:$DH$14,$DL$13)))</f>
        <v>1</v>
      </c>
      <c r="CB14" s="226" t="str">
        <f ca="1">IFERROR(HLOOKUP(4,CD12:DA13,2,0),CK13)</f>
        <v>COM_8</v>
      </c>
      <c r="CC14" s="226">
        <v>1</v>
      </c>
      <c r="CD14" s="226">
        <f t="array" aca="1" ref="CD14" ca="1">IF(AND($BW$14:$BW$17=$BW$14,$BX$14:$BX$17&lt;90,$AQ$14:$AQ$17=$AQ$14,$BZ$14:$BZ$17=$BZ$14),1,0)</f>
        <v>0</v>
      </c>
      <c r="CE14" s="226">
        <f t="array" aca="1" ref="CE14" ca="1">IF(AND($BW$14:$BW$16=$BW$14,$BX$14:$BX$16&lt;90,$BW$14&lt;&gt;$BW$17),1,0)</f>
        <v>0</v>
      </c>
      <c r="CF14" s="226">
        <f t="array" aca="1" ref="CF14" ca="1">IF(AND($BW$14:$BW$15=$BW$14,$BX$14:$BX$15&lt;90,$BW$14&lt;&gt;$BW$16),1,0)</f>
        <v>0</v>
      </c>
      <c r="CG14" s="226">
        <f t="array" aca="1" ref="CG14" ca="1">IF(AND($BW$14:$BW$15=$BW$14,$BX$14:$BX$15&lt;90,$BW$14&lt;&gt;$BW$16),1,0)</f>
        <v>0</v>
      </c>
      <c r="CH14" s="226">
        <f t="array" aca="1" ref="CH14" ca="1">IF(AND($BW$15:$BW$17=$BW$15,$BX$15:$BX$17&lt;90,$BW$14&lt;&gt;$BW$15),1,0)</f>
        <v>0</v>
      </c>
      <c r="CI14" s="226">
        <f t="array" aca="1" ref="CI14" ca="1">IF(AND($BW$14&lt;&gt;$BW$15,$BW$14&lt;&gt;$BW$17),1,0)</f>
        <v>1</v>
      </c>
      <c r="CJ14" s="226">
        <f t="array" aca="1" ref="CJ14" ca="1">IF(AND($BW$14&lt;&gt;$BW$15,$BW$14&lt;&gt;$BW$17),1,0)</f>
        <v>1</v>
      </c>
      <c r="CK14" s="226">
        <f t="array" aca="1" ref="CK14" ca="1">IF(AND($BW$14&lt;&gt;$BW$15,$BW$14&lt;&gt;$BW$17),1,0)</f>
        <v>1</v>
      </c>
      <c r="CL14" s="226">
        <f t="array" aca="1" ref="CL14" ca="1">IF(AND($BW$14:$BW$17=$BW$14,$BX$14:$BX$17&lt;90,$BY$14:$BY$15=$BY$14,$BY$14&lt;&gt;$BY$16),1,0)</f>
        <v>0</v>
      </c>
      <c r="CM14" s="226">
        <f t="array" aca="1" ref="CM14" ca="1">IF(AND($BW$14:$BW$17=$BW$14,$BX$14:$BX$17&lt;90,$BY$14:$BY$17=$BY$14,$BZ$14=$BZ$15,$BZ$14&lt;&gt;$BZ$16),1,0)</f>
        <v>0</v>
      </c>
      <c r="CN14" s="226">
        <f t="array" aca="1" ref="CN14" ca="1">IF(AND($BW$14:$BW$16=$BW$14,$BX$14:$BX$15&lt;90,$BX$16&gt;90),1,0)</f>
        <v>0</v>
      </c>
      <c r="CO14" s="226">
        <f t="array" aca="1" ref="CO14" ca="1">IF(AND($BW$14&lt;&gt;$BW$15,$BW$14&lt;&gt;$BW$16),1,0)</f>
        <v>1</v>
      </c>
      <c r="CP14" s="226">
        <f t="array" aca="1" ref="CP14" ca="1">IF(AND($BW$14&lt;&gt;$BW$15,$BW$14&lt;&gt;$BW$16),1,0)</f>
        <v>1</v>
      </c>
      <c r="CQ14" s="226">
        <f t="array" aca="1" ref="CQ14" ca="1">IF(AND($BW$14&lt;&gt;$BW$17,$BW$14:$BW$16=$BW$14,$BX$14&gt;90,$BX$15:$BX$16&lt;90),1,0)</f>
        <v>0</v>
      </c>
      <c r="CR14" s="226">
        <f t="array" aca="1" ref="CR14" ca="1">IF(AND($BW$14:$BW$17=$BW$14,$BX$15:$BX$17&lt;90,$BX$14&lt;&gt;$BX$15),1,0)</f>
        <v>0</v>
      </c>
      <c r="CS14" s="226">
        <f t="array" aca="1" ref="CS14" ca="1">IF(AND($BW$14:$BW$17=$BW$14,$BX$14:$BX$16&lt;90,$BX$14&lt;&gt;$BX$17),1,0)</f>
        <v>0</v>
      </c>
      <c r="CT14" s="226">
        <f t="array" aca="1" ref="CT14" ca="1">IF(AND($BW$14:$BW$17=$BW$14,$BX$14:$BX$15&gt;90,$BX$16:$BX$17&lt;90,$BY$14:$BY$17=$BY$14,$BZ$14&gt;$BZ$15,$BZ$14&gt;$BZ$16,$BZ$14&gt;$BZ$17),1,0)</f>
        <v>0</v>
      </c>
      <c r="CU14" s="226">
        <f t="array" aca="1" ref="CU14" ca="1">IF(AND($BW$14:$BW$17=$BW$14,$BX$14&gt;90,$BX$15:$BX$16&lt;90,$BX$17&gt;90,$BY$14:$BY$17=$BY$14,$BZ$14&gt;$BZ$15,$BZ$14&gt;$BZ$16,$BZ$14&gt;$BZ$17),1,0)</f>
        <v>0</v>
      </c>
      <c r="CV14" s="226">
        <f t="array" aca="1" ref="CV14" ca="1">IF(AND($BW$14:$BW$17=$BW$14,$BX$14:$BX$15&lt;90,$BX$16:$BX$17&gt;90,$BY$14:$BY$17=$BY$14,$BZ$14=$BZ$15,$BZ$14&gt;$BZ$16,$BZ$14&gt;$BZ$17),1,0)</f>
        <v>0</v>
      </c>
      <c r="CW14" s="226">
        <f t="array" aca="1" ref="CW14" ca="1">IF(AND($BW$14:$BW$17=$BW$14,$BX$14:$BX$15&gt;90,$BX$16:$BX$17&lt;90,$BY$14:$BY$17=$BY$14,$BZ$14&gt;$BZ$15,$BZ$15:$BZ$17=$BZ$15),1,0)</f>
        <v>0</v>
      </c>
      <c r="CX14" s="226">
        <f t="array" aca="1" ref="CX14" ca="1">IF(AND($BW$14:$BW$17=$BW$14,$BX$14:$BX$15&lt;90,$BX$16:$BX$17&gt;90,$BY$14:$BY$17=$BY$14,$BZ$14:$BZ$16=$BZ$14,$BZ$14&gt;$BZ$17),1,0)</f>
        <v>0</v>
      </c>
      <c r="CY14" s="226">
        <f t="array" aca="1" ref="CY14" ca="1">IF(AND($BW$14:$BW$17=$BW$14,$BX$14&gt;90,$BX$17&gt;90,$BX$15:$BX$16&lt;90,$BY$14:$BY$17=$BY$14,$BZ$14&gt;$BZ$15:$BZ$17),1,0)</f>
        <v>0</v>
      </c>
      <c r="CZ14" s="226"/>
      <c r="DA14" s="226"/>
      <c r="DB14" s="226"/>
      <c r="DC14" s="226"/>
      <c r="DD14" s="226"/>
      <c r="DE14" s="226"/>
      <c r="DF14" s="227">
        <v>2</v>
      </c>
      <c r="DG14" s="227">
        <v>2</v>
      </c>
      <c r="DH14" s="227">
        <v>2</v>
      </c>
      <c r="DI14" s="227">
        <v>3</v>
      </c>
      <c r="DJ14" s="227">
        <v>4</v>
      </c>
      <c r="DK14" s="227">
        <v>3</v>
      </c>
      <c r="DL14" s="227"/>
      <c r="DM14" s="227"/>
      <c r="DN14" s="227"/>
      <c r="DO14" s="227"/>
      <c r="DP14" s="226"/>
      <c r="DQ14" s="226"/>
      <c r="EGC14" s="7" t="s">
        <v>20</v>
      </c>
    </row>
    <row r="15" spans="1:121 3565:3565 6820:6820 11323:11323">
      <c r="A15" s="352" t="str">
        <f t="array" aca="1" ref="A15" ca="1">IF(ROWS(A$13:A15)&lt;=$C$12,INDEX(INDIRECT(A$12),SMALL(IF(Nivell=$B$12,ROW(Nivell)-ROW(Equipos!$C$2)+1),ROWS(B$12:B14))),"")</f>
        <v>Paraguay</v>
      </c>
      <c r="B15" s="353"/>
      <c r="C15" s="286"/>
      <c r="D15" s="286"/>
      <c r="E15" s="432"/>
      <c r="F15" s="174">
        <v>43635</v>
      </c>
      <c r="G15" s="175">
        <f t="shared" si="13"/>
        <v>43635.770833333336</v>
      </c>
      <c r="H15" s="174" t="s">
        <v>83</v>
      </c>
      <c r="I15" s="176" t="str">
        <f ca="1">A14</f>
        <v>Colombia</v>
      </c>
      <c r="J15" s="177"/>
      <c r="K15" s="178">
        <v>1</v>
      </c>
      <c r="L15" s="178">
        <v>0</v>
      </c>
      <c r="M15" s="180"/>
      <c r="N15" s="188" t="str">
        <f ca="1">A16</f>
        <v>Catar</v>
      </c>
      <c r="O15" s="293">
        <f t="shared" si="15"/>
        <v>1</v>
      </c>
      <c r="P15" s="291"/>
      <c r="Q15" s="208">
        <v>2</v>
      </c>
      <c r="R15" s="9" t="str">
        <f ca="1">VLOOKUP(Q15,$AG$14:$AI$17,3,0)</f>
        <v>Argentina</v>
      </c>
      <c r="S15" s="8">
        <f ca="1">VLOOKUP(R15,$AI$14:$AR$17,2,FALSE)</f>
        <v>4</v>
      </c>
      <c r="T15" s="8">
        <f ca="1">VLOOKUP($R15,$AI$14:$AR$17,3,FALSE)</f>
        <v>3</v>
      </c>
      <c r="U15" s="8">
        <f ca="1">VLOOKUP($R15,$AI$14:$AR$17,4,FALSE)</f>
        <v>1</v>
      </c>
      <c r="V15" s="8">
        <f ca="1">VLOOKUP($R15,$AI$14:$AR$17,5,FALSE)</f>
        <v>1</v>
      </c>
      <c r="W15" s="8">
        <f ca="1">VLOOKUP($R15,$AI$14:$AR$17,6,FALSE)</f>
        <v>1</v>
      </c>
      <c r="X15" s="8">
        <f ca="1">VLOOKUP($R15,$AI$14:$AR$17,7,FALSE)</f>
        <v>3</v>
      </c>
      <c r="Y15" s="8">
        <f ca="1">VLOOKUP($R15,$AI$14:$AR$17,8,FALSE)</f>
        <v>3</v>
      </c>
      <c r="Z15" s="209">
        <f ca="1">VLOOKUP($R15,$AI$14:$AR$17,9,FALSE)</f>
        <v>0</v>
      </c>
      <c r="AA15" s="297">
        <f ca="1">IF(SUM($AK$14:$AK$17)=12,MIN(ABS(BS14-BS15),ABS(BS15-BS16)),100)</f>
        <v>2010000000.0199997</v>
      </c>
      <c r="AB15" s="345" t="str">
        <f ca="1">IF(AND(AA15&gt;=0,AA15&lt;90),VLOOKUP(Q15,$BO$14:$BP$17,2,0),"")</f>
        <v/>
      </c>
      <c r="AC15" s="350"/>
      <c r="AD15" s="351"/>
      <c r="AE15" s="351"/>
      <c r="AF15" s="225">
        <f ca="1">VLOOKUP($R15,$AI$14:$AR$17,10,FALSE)</f>
        <v>4000310999.9499998</v>
      </c>
      <c r="AG15" s="226">
        <f ca="1">RANK(AU15,$AU$14:$AU$17)</f>
        <v>1</v>
      </c>
      <c r="AH15" s="226">
        <f ca="1">RANK(AR15,$AR$14:$AR$17)</f>
        <v>1</v>
      </c>
      <c r="AI15" s="227" t="str">
        <f ca="1">A14</f>
        <v>Colombia</v>
      </c>
      <c r="AJ15" s="226">
        <f ca="1">AL15*3+AM15*1+AN15*0</f>
        <v>9</v>
      </c>
      <c r="AK15" s="226">
        <f ca="1">COUNTIFS($I$12:$I$17,AI15,$K$12:$K$17,"&lt;&gt;",$L$12:$L$17,"&lt;&gt;")+COUNTIFS($N$12:$N$17,AI15,$L$12:$L$17,"&lt;&gt;",$K$12:$K$17,"&lt;&gt;")</f>
        <v>3</v>
      </c>
      <c r="AL15" s="226">
        <f t="array" aca="1" ref="AL15" ca="1">SUM((I$12:I$17=AI15)*(K$12:K$17&lt;&gt;"")*(L$12:L$17&lt;&gt;"")*(K$12:K$17&gt;L$12:L$17),(N$12:N$17=AI15)*(K$12:K$17&lt;&gt;"")*(L$12:L$17&lt;&gt;"")*(K$12:K$17&lt;L$12:L$17))</f>
        <v>3</v>
      </c>
      <c r="AM15" s="226">
        <f t="array" aca="1" ref="AM15" ca="1">SUM((I$12:I$17=AI15)*(K$12:K$17&lt;&gt;"")*(L$12:L$17&lt;&gt;"")*(K$12:K$17=L$12:L$17),(N$12:N$17=AI15)*(K$12:K$17&lt;&gt;"")*(L$12:L$17&lt;&gt;"")*(K$12:K$17=L$12:L$17))</f>
        <v>0</v>
      </c>
      <c r="AN15" s="226">
        <f t="array" aca="1" ref="AN15" ca="1">SUM((I$12:I$17=AI15)*(L$12:L$17&lt;&gt;"")*(K$12:K$17&lt;&gt;"")*(K$12:K$17&lt;L$12:L$17),(K$12:K$17&lt;&gt;"")*(N$12:N$17=AI15)*(L$12:L$17&lt;&gt;"")*(K$12:K$17&gt;L$12:L$17))</f>
        <v>0</v>
      </c>
      <c r="AO15" s="226">
        <f t="array" aca="1" ref="AO15" ca="1">SUMIFS($K$12:$K$17,$I$12:$I$17,AI15,$K$12:$K$17,"&lt;&gt;",$L$12:$L$17,"&lt;&gt;")+SUMIFS($L$12:$L$17,$N$12:$N$17,AI15,$K$12:$K$17,"&lt;&gt;",$L$12:$L$17,"&lt;&gt;")</f>
        <v>4</v>
      </c>
      <c r="AP15" s="226">
        <f t="array" aca="1" ref="AP15" ca="1">SUMIFS($K$12:$K$17,$N$12:$N$17,AI15,$K$12:$K$17,"&lt;&gt;",$L$12:$L$17,"&lt;&gt;")+SUMIFS($L$12:$L$17,$I$12:$I$17,AI15,$K$12:$K$17,"&lt;&gt;",$L$12:$L$17,"&lt;&gt;")</f>
        <v>0</v>
      </c>
      <c r="AQ15" s="226">
        <f ca="1">AO15-AP15</f>
        <v>4</v>
      </c>
      <c r="AR15" s="226">
        <f ca="1">IF(AK15=0,-($AW$9*VLOOKUP(AI15,Tabla3[[NombreEquipo]:[Rank]],3,FALSE)),AJ15*$AW$4+AQ15*$AW$5+AO15*$AW$6+BA15-($AW$9*VLOOKUP(AI15,Tabla3[[NombreEquipo]:[Rank]],3,FALSE)/100))</f>
        <v>9040410999.9400005</v>
      </c>
      <c r="AS15" s="226">
        <f ca="1">AH15</f>
        <v>1</v>
      </c>
      <c r="AT15" s="226"/>
      <c r="AU15" s="226">
        <f ca="1">IFERROR(AR15-VLOOKUP(AI15,$AB$14:$AC$17,2,0),AR15)</f>
        <v>9040410999.9400005</v>
      </c>
      <c r="AV15" s="230"/>
      <c r="AW15" s="231"/>
      <c r="AX15" s="226"/>
      <c r="AY15" s="232" t="str">
        <f ca="1">AI15</f>
        <v>Colombia</v>
      </c>
      <c r="AZ15" s="226">
        <f ca="1">COUNTIF(AJ14:AJ17,AJ15)</f>
        <v>1</v>
      </c>
      <c r="BA15" s="226">
        <f ca="1">(BB15*$AW$8)+(BH15*$AW$7)</f>
        <v>11000</v>
      </c>
      <c r="BB15" s="233">
        <f ca="1">RANK(BC15,BC14:BC17,1)</f>
        <v>1</v>
      </c>
      <c r="BC15" s="233">
        <f ca="1">SUM(IF(AND(AJ15=AJ16,AQ15=AQ16,AO15=AO16),BF15,0),IF(AND(AJ15=AJ17,AQ15=AQ17,AO15=AO17),BG15,0),IF(AND(AJ15=AJ14,AQ15=AQ14,AO15=AO14),BD15,0))</f>
        <v>0</v>
      </c>
      <c r="BD15" s="233">
        <f t="array" aca="1" ref="BD15" ca="1">SUMIFS($K$12:$K$17,$I$12:$I$17,$AY15,$K$12:$K$17,"&lt;&gt;",$L$12:$L$17,"&lt;&gt;",$N$12:$N$17,BD13)+SUMIFS($L$12:$L$17,$I$12:$I$17,BD13,$K$12:$K$17,"&lt;&gt;",$L$12:$L$17,"&lt;&gt;",$N$12:$N$17,$AY15)</f>
        <v>2</v>
      </c>
      <c r="BE15" s="233">
        <v>0</v>
      </c>
      <c r="BF15" s="233">
        <f t="array" aca="1" ref="BF15" ca="1">SUMIFS($K$12:$K$17,$I$12:$I$17,$AY15,$K$12:$K$17,"&lt;&gt;",$L$12:$L$17,"&lt;&gt;",$N$12:$N$17,BF13)+SUMIFS($L$12:$L$17,$I$12:$I$17,BF13,$K$12:$K$17,"&lt;&gt;",$L$12:$L$17,"&lt;&gt;",$N$12:$N$17,$AY15)</f>
        <v>1</v>
      </c>
      <c r="BG15" s="233">
        <f t="array" aca="1" ref="BG15" ca="1">SUMIFS($K$12:$K$17,$I$12:$I$17,$AY15,$K$12:$K$17,"&lt;&gt;",$L$12:$L$17,"&lt;&gt;",$N$12:$N$17,BG13)+SUMIFS($L$12:$L$17,$I$12:$I$17,BG13,$K$12:$K$17,"&lt;&gt;",$L$12:$L$17,"&lt;&gt;",$N$12:$N$17,$AY15)</f>
        <v>1</v>
      </c>
      <c r="BH15" s="233">
        <f ca="1">RANK(BI15,BI14:BI17,1)</f>
        <v>1</v>
      </c>
      <c r="BI15" s="233">
        <f ca="1">SUM(IF(AND(AJ15=AJ16,AQ15=AQ16,AO15=AO16),BL15,0),IF(AND(AJ15=AJ17,AQ15=AQ17,AO15=AO17),BM15,0),IF(AND(AJ15=AJ14,AQ15=AQ14,AO15=AO14),BJ15,0))</f>
        <v>0</v>
      </c>
      <c r="BJ15" s="233">
        <f ca="1">BD15-BE14</f>
        <v>2</v>
      </c>
      <c r="BK15" s="233">
        <v>0</v>
      </c>
      <c r="BL15" s="233">
        <f ca="1">BF15-BE16</f>
        <v>1</v>
      </c>
      <c r="BM15" s="233">
        <f ca="1">BG15-BE17</f>
        <v>1</v>
      </c>
      <c r="BN15" s="227">
        <v>2</v>
      </c>
      <c r="BO15" s="227">
        <f ca="1">RANK(BQ15,$BQ$14:$BQ$17)</f>
        <v>1</v>
      </c>
      <c r="BP15" s="227" t="str">
        <f ca="1">A14</f>
        <v>Colombia</v>
      </c>
      <c r="BQ15" s="227">
        <f ca="1">IF(AK15=0,-($AW$9*VLOOKUP(AI15,Tabla3[[NombreEquipo]:[Rank]],3,FALSE)),AJ15*$AW$4+AQ15*$AW$5+AO15*$AW$6+BA15-($AW$9*VLOOKUP(AI15,Tabla3[[NombreEquipo]:[Rank]],3,FALSE)/100))</f>
        <v>9040410999.9400005</v>
      </c>
      <c r="BR15" s="227" t="str">
        <f ca="1">VLOOKUP(Q15,$AH$14:$AI$17,2,0)</f>
        <v>Argentina</v>
      </c>
      <c r="BS15" s="227">
        <f ca="1">VLOOKUP($BR15,$AI$14:$AR$17,10,FALSE)</f>
        <v>4000310999.9499998</v>
      </c>
      <c r="BT15" s="227"/>
      <c r="BU15" s="227">
        <v>2</v>
      </c>
      <c r="BV15" s="227" t="str">
        <f ca="1">VLOOKUP(BU15,$AH$14:$AI$17,2,0)</f>
        <v>Argentina</v>
      </c>
      <c r="BW15" s="227">
        <f ca="1">VLOOKUP(BV15,$AI$14:$AR$17,2,FALSE)</f>
        <v>4</v>
      </c>
      <c r="BX15" s="234">
        <f ca="1">IF(SUM($AK$14:$AK$17)=12,MIN(ABS(BS14-BS15),ABS(BS15-BS16)),100)</f>
        <v>2010000000.0199997</v>
      </c>
      <c r="BY15" s="227">
        <f ca="1">VLOOKUP($BV15,$AI$14:$AR$17,9,FALSE)</f>
        <v>0</v>
      </c>
      <c r="BZ15" s="227">
        <f ca="1">VLOOKUP($BV15,$AI$14:$AR$17,7,FALSE)</f>
        <v>3</v>
      </c>
      <c r="CA15" s="227">
        <f t="array" aca="1" ref="CA15" ca="1">IF($CB$14=$CD$13,$DF$13:$DF$16,IF($CB$14=$CE$13,$DG$13:$DG$15,IF(OR($CB$14=$CF$13,$CB$14=$CG$13),$DH$13:$DH$14,IF($CB$14=$CH$13,$DI$13:$DI$15,(IF($CB$14=$CI$13,$DK$13:$DK$14,$DM$13))))))</f>
        <v>2</v>
      </c>
      <c r="CB15" s="226"/>
      <c r="CC15" s="226">
        <v>2</v>
      </c>
      <c r="CD15" s="226">
        <f t="array" aca="1" ref="CD15" ca="1">IF(AND($BW$14:$BW$17=$BW$15,$BX$14:$BX$17&lt;90,$AQ$14:$AQ$17=$AQ$15,$BZ$14:$BZ$17=$BZ$15),1,0)</f>
        <v>0</v>
      </c>
      <c r="CE15" s="226">
        <f t="array" aca="1" ref="CE15" ca="1">IF(AND($BW$14:$BW$16=$BW$15,$BX$14:$BX$16&lt;90,$BW$15&lt;&gt;$BW$17),1,0)</f>
        <v>0</v>
      </c>
      <c r="CF15" s="226">
        <f t="array" aca="1" ref="CF15" ca="1">IF(AND($BW$14:$BW$15=$BW$14,$BX$14:$BX$15&lt;90,$BW$14&lt;&gt;$BW$16),1,0)</f>
        <v>0</v>
      </c>
      <c r="CG15" s="226">
        <f t="array" aca="1" ref="CG15" ca="1">IF(AND($BW$14:$BW$15=$BW$14,$BX$14:$BX$15&lt;90,$BW$14&lt;&gt;$BW$16),1,0)</f>
        <v>0</v>
      </c>
      <c r="CH15" s="226">
        <f t="array" aca="1" ref="CH15" ca="1">IF(AND($BW$15:$BW$17=$BW$15,$BX$15:$BX$17&lt;90,$BW$14&lt;&gt;$BW$15),1,0)</f>
        <v>0</v>
      </c>
      <c r="CI15" s="226">
        <f t="array" aca="1" ref="CI15" ca="1">IF(AND($BW$15:$BW$16=$BW$15,$BX$15:$BX$16&lt;90,$BW$15&lt;&gt;$BW$14,$BW$15&lt;&gt;$BW$17),1,0)</f>
        <v>0</v>
      </c>
      <c r="CJ15" s="226">
        <f t="array" aca="1" ref="CJ15" ca="1">IF(AND($BW$15&lt;&gt;$BW$14,$BW$15&lt;&gt;$BW$16),1,0)</f>
        <v>1</v>
      </c>
      <c r="CK15" s="226">
        <f t="array" aca="1" ref="CK15" ca="1">IF(AND($BW$15&lt;&gt;$BW$14,$BW$15&lt;&gt;$BW$16),1,0)</f>
        <v>1</v>
      </c>
      <c r="CL15" s="226">
        <f t="array" aca="1" ref="CL15" ca="1">IF(AND($BW$14:$BW$17=$BW$14,$BX$14:$BX$17&lt;90,$BY$14:$BY$15=$BY$14,$BY$15&lt;&gt;$BY$16),1,0)</f>
        <v>0</v>
      </c>
      <c r="CM15" s="226">
        <f t="array" aca="1" ref="CM15" ca="1">IF(AND($BW$14:$BW$17=$BW$14,$BX$14:$BX$17&lt;90,$BY$14:$BY$17=$BY$14,$BZ$14=$BZ$15,$BZ$15&lt;&gt;$BZ$16),1,0)</f>
        <v>0</v>
      </c>
      <c r="CN15" s="226">
        <f t="array" aca="1" ref="CN15" ca="1">IF(AND($BW$14:$BW$16=$BW$15,$BX$14:$BX$15&lt;90,$BX$16&gt;90),1,0)</f>
        <v>0</v>
      </c>
      <c r="CO15" s="226">
        <f t="array" aca="1" ref="CO15" ca="1">IF(AND($BW$15&lt;&gt;$BW$14,$BW$15:$BW$17=$BW$15,$BX$15&gt;90,$BX$16:$BX$17&lt;90),1,0)</f>
        <v>0</v>
      </c>
      <c r="CP15" s="226">
        <f t="array" aca="1" ref="CP15" ca="1">IF(AND($BW$15&lt;&gt;$BW$14,$BW$15:$BW$17=$BW$15,$BX$17&gt;90,$BX$15:$BX$16&lt;90),1,0)</f>
        <v>0</v>
      </c>
      <c r="CQ15" s="226">
        <f t="array" aca="1" ref="CQ15" ca="1">IF(AND($BW$15&lt;&gt;$BW$17,$BW$14:$BW$16=$BW$15,$BX$14&gt;90,$BX$15:$BX$16&lt;90),1,0)</f>
        <v>0</v>
      </c>
      <c r="CR15" s="226">
        <f t="array" aca="1" ref="CR15" ca="1">IF(AND($BW$14:$BW$17=$BW$15,$BX$15:$BX$17&lt;90,$BX$14&lt;&gt;$BX$15),1,0)</f>
        <v>0</v>
      </c>
      <c r="CS15" s="226">
        <f t="array" aca="1" ref="CS15" ca="1">IF(AND($BW$14:$BW$17=$BW$15,$BX$14:$BX$16&lt;90,$BX$15&lt;&gt;$BX$17),1,0)</f>
        <v>0</v>
      </c>
      <c r="CT15" s="226">
        <f t="array" aca="1" ref="CT15" ca="1">IF(AND($BW$14:$BW$17=$BW$15,$BX$14:$BX$15&gt;90,$BX$16:$BX$17&lt;90,$BY$14:$BY$17=$BY$15,$BZ$14&gt;$BZ$15,$BZ$15&gt;$BZ$16,$BZ$15&gt;$BZ$17),1,0)</f>
        <v>0</v>
      </c>
      <c r="CU15" s="226">
        <f t="array" aca="1" ref="CU15" ca="1">IF(AND($BW$14:$BW$17=$BW$15,$BX$14&gt;90,$BX$15:$BX$16&lt;90,$BX$17&gt;90,$BY$14:$BY$17=$BY$15,$BZ$14&gt;$BZ$15,$BZ$15=$BZ$16,$BZ$15&gt;$BZ$17),1,0)</f>
        <v>0</v>
      </c>
      <c r="CV15" s="226">
        <f t="array" aca="1" ref="CV15" ca="1">IF(AND($BW$14:$BW$17=$BW$15,$BX$14:$BX$15&lt;90,$BX$16:$BX$17&gt;90,$BY$14:$BY$17=$BY$15,$BZ$14=$BZ$15,$BZ$15&gt;$BZ$16,$BZ$15&gt;$BZ$17),1,0)</f>
        <v>0</v>
      </c>
      <c r="CW15" s="226">
        <f t="array" aca="1" ref="CW15" ca="1">IF(AND($BW$14:$BW$17=$BW$15,$BX$14:$BX$15&gt;90,$BX$16:$BX$17&lt;90,$BY$14:$BY$17=$BY$15,$BZ$14&gt;$BZ$15,$BZ$15:$BZ$17=$BZ$15),1,0)</f>
        <v>0</v>
      </c>
      <c r="CX15" s="226">
        <f t="array" aca="1" ref="CX15" ca="1">IF(AND($BW$14:$BW$17=$BW$15,$BX$14:$BX$15&lt;90,$BX$16:$BX$17&gt;90,$BY$14:$BY$17=$BY$15,$BZ$14:$BZ$16=$BZ$15,$BZ$15&gt;$BZ$17),1,0)</f>
        <v>0</v>
      </c>
      <c r="CY15" s="226">
        <f t="array" aca="1" ref="CY15" ca="1">IF(AND($BW$14:$BW$17=$BW$15,$BX$14&gt;90,$BX$17&gt;90,$BX$15:$BX$16&lt;90,$BY$14:$BY$17=$BY$15,$BZ$14&gt;$BZ$15:$BZ$17,$BZ$15:$BZ$17=$BZ$15),1,0)</f>
        <v>0</v>
      </c>
      <c r="CZ15" s="226"/>
      <c r="DA15" s="226"/>
      <c r="DB15" s="226"/>
      <c r="DC15" s="226"/>
      <c r="DD15" s="226"/>
      <c r="DE15" s="226"/>
      <c r="DF15" s="227">
        <v>3</v>
      </c>
      <c r="DG15" s="227">
        <v>3</v>
      </c>
      <c r="DH15" s="227"/>
      <c r="DI15" s="227">
        <v>4</v>
      </c>
      <c r="DJ15" s="227"/>
      <c r="DK15" s="227"/>
      <c r="DL15" s="227"/>
      <c r="DM15" s="227"/>
      <c r="DN15" s="227"/>
      <c r="DO15" s="227"/>
      <c r="DP15" s="226"/>
      <c r="DQ15" s="226"/>
    </row>
    <row r="16" spans="1:121 3565:3565 6820:6820 11323:11323">
      <c r="A16" s="352" t="str">
        <f t="array" aca="1" ref="A16" ca="1">IF(ROWS(A$13:A16)&lt;=$C$12,INDEX(INDIRECT(A$12),SMALL(IF(Nivell=$B$12,ROW(Nivell)-ROW(Equipos!$C$2)+1),ROWS(B$12:B15))),"")</f>
        <v>Catar</v>
      </c>
      <c r="B16" s="353"/>
      <c r="C16" s="286"/>
      <c r="D16" s="286"/>
      <c r="E16" s="432"/>
      <c r="F16" s="174">
        <v>43639</v>
      </c>
      <c r="G16" s="175">
        <f t="shared" si="13"/>
        <v>43639.666666666664</v>
      </c>
      <c r="H16" s="174" t="s">
        <v>84</v>
      </c>
      <c r="I16" s="176" t="str">
        <f ca="1">A16</f>
        <v>Catar</v>
      </c>
      <c r="J16" s="177"/>
      <c r="K16" s="178">
        <v>0</v>
      </c>
      <c r="L16" s="178">
        <v>2</v>
      </c>
      <c r="M16" s="179"/>
      <c r="N16" s="188" t="str">
        <f ca="1">A13</f>
        <v>Argentina</v>
      </c>
      <c r="O16" s="293">
        <f t="shared" si="15"/>
        <v>1</v>
      </c>
      <c r="P16" s="291"/>
      <c r="Q16" s="208">
        <v>3</v>
      </c>
      <c r="R16" s="9" t="str">
        <f ca="1">VLOOKUP(Q16,$AG$14:$AI$17,3,0)</f>
        <v>Paraguay</v>
      </c>
      <c r="S16" s="8">
        <f ca="1">VLOOKUP(R16,$AI$14:$AR$17,2,FALSE)</f>
        <v>2</v>
      </c>
      <c r="T16" s="8">
        <f ca="1">VLOOKUP($R16,$AI$14:$AR$17,3,FALSE)</f>
        <v>3</v>
      </c>
      <c r="U16" s="8">
        <f ca="1">VLOOKUP($R16,$AI$14:$AR$17,4,FALSE)</f>
        <v>0</v>
      </c>
      <c r="V16" s="8">
        <f ca="1">VLOOKUP($R16,$AI$14:$AR$17,5,FALSE)</f>
        <v>2</v>
      </c>
      <c r="W16" s="8">
        <f ca="1">VLOOKUP($R16,$AI$14:$AR$17,6,FALSE)</f>
        <v>1</v>
      </c>
      <c r="X16" s="8">
        <f ca="1">VLOOKUP($R16,$AI$14:$AR$17,7,FALSE)</f>
        <v>3</v>
      </c>
      <c r="Y16" s="8">
        <f ca="1">VLOOKUP($R16,$AI$14:$AR$17,8,FALSE)</f>
        <v>4</v>
      </c>
      <c r="Z16" s="209">
        <f ca="1">VLOOKUP($R16,$AI$14:$AR$17,9,FALSE)</f>
        <v>-1</v>
      </c>
      <c r="AA16" s="297">
        <f ca="1">IF(SUM($AK$14:$AK$17)=12,MIN(ABS(BS15-BS16),ABS(BS16-BS17)),100)</f>
        <v>1020100000.0100001</v>
      </c>
      <c r="AB16" s="345" t="str">
        <f ca="1">IF(AND(AA16&gt;=0,AA16&lt;90),VLOOKUP(Q16,$BO$14:$BP$17,2,0),"")</f>
        <v/>
      </c>
      <c r="AC16" s="350"/>
      <c r="AD16" s="351"/>
      <c r="AE16" s="351"/>
      <c r="AF16" s="225">
        <f ca="1">VLOOKUP($R16,$AI$14:$AR$17,10,FALSE)</f>
        <v>1990310999.9300001</v>
      </c>
      <c r="AG16" s="226">
        <f ca="1">RANK(AU16,$AU$14:$AU$17)</f>
        <v>3</v>
      </c>
      <c r="AH16" s="226">
        <f ca="1">RANK(AR16,$AR$14:$AR$17)</f>
        <v>3</v>
      </c>
      <c r="AI16" s="227" t="str">
        <f ca="1">A15</f>
        <v>Paraguay</v>
      </c>
      <c r="AJ16" s="226">
        <f ca="1">AL16*3+AM16*1+AN16*0</f>
        <v>2</v>
      </c>
      <c r="AK16" s="226">
        <f ca="1">COUNTIFS($I$12:$I$17,AI16,$K$12:$K$17,"&lt;&gt;",$L$12:$L$17,"&lt;&gt;")+COUNTIFS($N$12:$N$17,AI16,$L$12:$L$17,"&lt;&gt;",$K$12:$K$17,"&lt;&gt;")</f>
        <v>3</v>
      </c>
      <c r="AL16" s="226">
        <f t="array" aca="1" ref="AL16" ca="1">SUM((I$12:I$17=AI16)*(K$12:K$17&lt;&gt;"")*(L$12:L$17&lt;&gt;"")*(K$12:K$17&gt;L$12:L$17),(N$12:N$17=AI16)*(K$12:K$17&lt;&gt;"")*(L$12:L$17&lt;&gt;"")*(K$12:K$17&lt;L$12:L$17))</f>
        <v>0</v>
      </c>
      <c r="AM16" s="226">
        <f t="array" aca="1" ref="AM16" ca="1">SUM((I$12:I$17=AI16)*(K$12:K$17&lt;&gt;"")*(L$12:L$17&lt;&gt;"")*(K$12:K$17=L$12:L$17),(N$12:N$17=AI16)*(K$12:K$17&lt;&gt;"")*(L$12:L$17&lt;&gt;"")*(K$12:K$17=L$12:L$17))</f>
        <v>2</v>
      </c>
      <c r="AN16" s="226">
        <f t="array" aca="1" ref="AN16" ca="1">SUM((I$12:I$17=AI16)*(L$12:L$17&lt;&gt;"")*(K$12:K$17&lt;&gt;"")*(K$12:K$17&lt;L$12:L$17),(K$12:K$17&lt;&gt;"")*(N$12:N$17=AI16)*(L$12:L$17&lt;&gt;"")*(K$12:K$17&gt;L$12:L$17))</f>
        <v>1</v>
      </c>
      <c r="AO16" s="226">
        <f t="array" aca="1" ref="AO16" ca="1">SUMIFS($K$12:$K$17,$I$12:$I$17,AI16,$K$12:$K$17,"&lt;&gt;",$L$12:$L$17,"&lt;&gt;")+SUMIFS($L$12:$L$17,$N$12:$N$17,AI16,$K$12:$K$17,"&lt;&gt;",$L$12:$L$17,"&lt;&gt;")</f>
        <v>3</v>
      </c>
      <c r="AP16" s="226">
        <f t="array" aca="1" ref="AP16" ca="1">SUMIFS($K$12:$K$17,$N$12:$N$17,AI16,$K$12:$K$17,"&lt;&gt;",$L$12:$L$17,"&lt;&gt;")+SUMIFS($L$12:$L$17,$I$12:$I$17,AI16,$K$12:$K$17,"&lt;&gt;",$L$12:$L$17,"&lt;&gt;")</f>
        <v>4</v>
      </c>
      <c r="AQ16" s="226">
        <f ca="1">AO16-AP16</f>
        <v>-1</v>
      </c>
      <c r="AR16" s="226">
        <f ca="1">IF(AK16=0,-($AW$9*VLOOKUP(AI16,Tabla3[[NombreEquipo]:[Rank]],3,FALSE)),AJ16*$AW$4+AQ16*$AW$5+AO16*$AW$6+BA16-($AW$9*VLOOKUP(AI16,Tabla3[[NombreEquipo]:[Rank]],3,FALSE)/100))</f>
        <v>1990310999.9300001</v>
      </c>
      <c r="AS16" s="226">
        <f ca="1">AH16</f>
        <v>3</v>
      </c>
      <c r="AT16" s="226"/>
      <c r="AU16" s="226">
        <f ca="1">IFERROR(AR16-VLOOKUP(AI16,$AB$14:$AC$17,2,0),AR16)</f>
        <v>1990310999.9300001</v>
      </c>
      <c r="AV16" s="230"/>
      <c r="AW16" s="231"/>
      <c r="AX16" s="226"/>
      <c r="AY16" s="232" t="str">
        <f ca="1">AI16</f>
        <v>Paraguay</v>
      </c>
      <c r="AZ16" s="226">
        <f ca="1">COUNTIF(AJ14:AJ17,AJ16)</f>
        <v>1</v>
      </c>
      <c r="BA16" s="226">
        <f ca="1">(BB16*$AW$8)+(BH16*$AW$7)</f>
        <v>11000</v>
      </c>
      <c r="BB16" s="233">
        <f ca="1">RANK(BC16,BC14:BC17,1)</f>
        <v>1</v>
      </c>
      <c r="BC16" s="233">
        <f ca="1">SUM(IF(AND(AJ16=AJ17,AQ16=AQ17,AO16=AO17),BG16,0),IF(AND(AJ16=AJ14,AQ16=AQ14,AO16=AO14),BD16,0),IF(AND(AJ16=AJ15,AQ16=AQ15,AO16=AO15),BE16,0))</f>
        <v>0</v>
      </c>
      <c r="BD16" s="233">
        <f t="array" aca="1" ref="BD16" ca="1">SUMIFS($K$12:$K$17,$I$12:$I$17,$AY16,$K$12:$K$17,"&lt;&gt;",$L$12:$L$17,"&lt;&gt;",$N$12:$N$17,BD13)+SUMIFS($L$12:$L$17,$I$12:$I$17,BD13,$K$12:$K$17,"&lt;&gt;",$L$12:$L$17,"&lt;&gt;",$N$12:$N$17,$AY16)</f>
        <v>1</v>
      </c>
      <c r="BE16" s="233">
        <f t="array" aca="1" ref="BE16" ca="1">SUMIFS($K$12:$K$17,$I$12:$I$17,$AY16,$K$12:$K$17,"&lt;&gt;",$L$12:$L$17,"&lt;&gt;",$N$12:$N$17,BE13)+SUMIFS($L$12:$L$17,$I$12:$I$17,BE13,$K$12:$K$17,"&lt;&gt;",$L$12:$L$17,"&lt;&gt;",$N$12:$N$17,$AY16)</f>
        <v>0</v>
      </c>
      <c r="BF16" s="233">
        <v>0</v>
      </c>
      <c r="BG16" s="233">
        <f t="array" aca="1" ref="BG16" ca="1">SUMIFS($K$12:$K$17,$I$12:$I$17,$AY16,$K$12:$K$17,"&lt;&gt;",$L$12:$L$17,"&lt;&gt;",$N$12:$N$17,BG13)+SUMIFS($L$12:$L$17,$I$12:$I$17,BG13,$K$12:$K$17,"&lt;&gt;",$L$12:$L$17,"&lt;&gt;",$N$12:$N$17,$AY16)</f>
        <v>2</v>
      </c>
      <c r="BH16" s="233">
        <f ca="1">RANK(BI16,BI14:BI17,1)</f>
        <v>1</v>
      </c>
      <c r="BI16" s="233">
        <f ca="1">SUM(IF(AND(AJ16=AJ17,AQ16=AQ17,AO16=AO17),BM16,0),IF(AND(AJ16=AJ14,AQ16=AQ14,AO16=AO14),BJ16,0),IF(AND(AJ16=AJ15,AQ16=AQ15,AO16=AO15),BK16,0))</f>
        <v>0</v>
      </c>
      <c r="BJ16" s="233">
        <f ca="1">BD16-BF14</f>
        <v>0</v>
      </c>
      <c r="BK16" s="233">
        <f ca="1">BE16-BF15</f>
        <v>-1</v>
      </c>
      <c r="BL16" s="233">
        <v>0</v>
      </c>
      <c r="BM16" s="233">
        <f ca="1">BG16-BF17</f>
        <v>0</v>
      </c>
      <c r="BN16" s="227">
        <v>3</v>
      </c>
      <c r="BO16" s="227">
        <f ca="1">RANK(BQ16,$BQ$14:$BQ$17)</f>
        <v>3</v>
      </c>
      <c r="BP16" s="227" t="str">
        <f ca="1">A15</f>
        <v>Paraguay</v>
      </c>
      <c r="BQ16" s="227">
        <f ca="1">IF(AK16=0,-($AW$9*VLOOKUP(AI16,Tabla3[[NombreEquipo]:[Rank]],3,FALSE)),AJ16*$AW$4+AQ16*$AW$5+AO16*$AW$6+BA16-($AW$9*VLOOKUP(AI16,Tabla3[[NombreEquipo]:[Rank]],3,FALSE)/100))</f>
        <v>1990310999.9300001</v>
      </c>
      <c r="BR16" s="227" t="str">
        <f ca="1">VLOOKUP(Q16,$AH$14:$AI$17,2,0)</f>
        <v>Paraguay</v>
      </c>
      <c r="BS16" s="227">
        <f ca="1">VLOOKUP($BR16,$AI$14:$AR$17,10,FALSE)</f>
        <v>1990310999.9300001</v>
      </c>
      <c r="BT16" s="227"/>
      <c r="BU16" s="227">
        <v>3</v>
      </c>
      <c r="BV16" s="227" t="str">
        <f ca="1">VLOOKUP(BU16,$AH$14:$AI$17,2,0)</f>
        <v>Paraguay</v>
      </c>
      <c r="BW16" s="227">
        <f ca="1">VLOOKUP(BV16,$AI$14:$AR$17,2,FALSE)</f>
        <v>2</v>
      </c>
      <c r="BX16" s="234">
        <f ca="1">IF(SUM($AK$14:$AK$17)=12,MIN(ABS(BS15-BS16),ABS(BS16-BS17)),100)</f>
        <v>1020100000.0100001</v>
      </c>
      <c r="BY16" s="227">
        <f ca="1">VLOOKUP($BV16,$AI$14:$AR$17,9,FALSE)</f>
        <v>-1</v>
      </c>
      <c r="BZ16" s="227">
        <f ca="1">VLOOKUP($BV16,$AI$14:$AR$17,7,FALSE)</f>
        <v>3</v>
      </c>
      <c r="CA16" s="227">
        <f t="array" aca="1" ref="CA16" ca="1">IF($CB$14=$CD$13,$DF$13:$DF$16,IF($CB$14=$CE$13,$DG$13:$DG$15,IF(OR($CB$14=$CF$13,$CB$14=$CJ$13),$DJ$13:$DJ$14,IF($CB$14=$CH$13,$DI$13:$DI$15,(IF($CB$14=$CI$13,$DK$13:$DK$14,$DN$13))))))</f>
        <v>3</v>
      </c>
      <c r="CB16" s="226"/>
      <c r="CC16" s="226">
        <v>3</v>
      </c>
      <c r="CD16" s="226">
        <f t="array" aca="1" ref="CD16" ca="1">IF(AND($BW$14:$BW$17=$BW$8,$BX$14:$BX$17&lt;90,$AQ$14:$AQ$17=$AQ$8,$BZ$14:$BZ$17=$BZ$8),1,0)</f>
        <v>0</v>
      </c>
      <c r="CE16" s="226">
        <f t="array" aca="1" ref="CE16" ca="1">IF(AND($BW$14:$BW$16=$BW$16,$BX$14:$BX$16&lt;90,$BW$16&lt;&gt;$BW$17),1,0)</f>
        <v>0</v>
      </c>
      <c r="CF16" s="226">
        <f t="array" aca="1" ref="CF16" ca="1">IF(AND($BW$16:$BW$17=$BW$16,$BX$16:$BX$17&lt;90,$BW$16&lt;&gt;$BW$15),1,0)</f>
        <v>0</v>
      </c>
      <c r="CG16" s="226">
        <f t="array" aca="1" ref="CG16" ca="1">IF(OR(AND($BW$16&lt;&gt;$BW$15,$BW$16&lt;&gt;$BW$17),AND($BW$16&lt;&gt;$BW$15,$BW$16=$BW$17,$BX$16&gt;90,$BX$17&gt;90)),1,0)</f>
        <v>1</v>
      </c>
      <c r="CH16" s="226">
        <f t="array" aca="1" ref="CH16" ca="1">IF(AND($BW$15:$BW$17=$BW$15,$BX$15:$BX$17&lt;90,$BW$14&lt;&gt;$BW$16),1,0)</f>
        <v>0</v>
      </c>
      <c r="CI16" s="226">
        <f t="array" aca="1" ref="CI16" ca="1">IF(AND($BW$15:$BW$16=$BW$16,$BX$15:$BX$16&lt;90,$BW$16&lt;&gt;$BW$14,$BW$16&lt;&gt;$BW$17),1,0)</f>
        <v>0</v>
      </c>
      <c r="CJ16" s="226">
        <f t="array" aca="1" ref="CJ16" ca="1">IF(AND($BW$16:$BW$17=$BW$16,$BX$16:$BX$17&lt;90,$BW$16&lt;&gt;$BW$15),1,0)</f>
        <v>0</v>
      </c>
      <c r="CK16" s="226">
        <f t="array" aca="1" ref="CK16" ca="1">IF(AND($BW$16&lt;&gt;$BW$15,$BW$16&lt;&gt;$BW$17),1,0)</f>
        <v>1</v>
      </c>
      <c r="CL16" s="226">
        <f t="array" aca="1" ref="CL16" ca="1">IF(AND($BW$14:$BW$17=$BW$14,$BX$14:$BX$17&lt;90,$BY$16:$BY$17=$BY$16,$BY$15&lt;&gt;$BY$16),1,0)</f>
        <v>0</v>
      </c>
      <c r="CM16" s="226">
        <f t="array" aca="1" ref="CM16" ca="1">IF(AND($BW$14:$BW$17=$BW$14,$BX$14:$BX$17&lt;90,$BY$14:$BY$17=$BY$14,$BZ$16=$BZ$17,$BZ$15&lt;&gt;$BZ$16),1,0)</f>
        <v>0</v>
      </c>
      <c r="CN16" s="226">
        <f t="array" aca="1" ref="CN16" ca="1">IF(AND($BW$14:$BW$16=$BW$16,$BX$14:$BX$15&lt;90,$BX$16&gt;90),1,0)</f>
        <v>0</v>
      </c>
      <c r="CO16" s="226">
        <f t="array" aca="1" ref="CO16" ca="1">IF(AND($BW$15&lt;&gt;$BW$14,$BW$15:$BW$17=$BW$16,$BX$15&gt;90,$BX$16:$BX$17&lt;90),1,0)</f>
        <v>0</v>
      </c>
      <c r="CP16" s="226">
        <f t="array" aca="1" ref="CP16" ca="1">IF(AND($BW$15&lt;&gt;$BW$14,$BW$15:$BW$17=$BW$15,$BX$17&gt;90,$BX$15:$BX$16&lt;90),1,0)</f>
        <v>0</v>
      </c>
      <c r="CQ16" s="226">
        <f t="array" aca="1" ref="CQ16" ca="1">IF(AND($BW$16&lt;&gt;$BW$17,$BW$14:$BW$16=$BW$16,$BX$14&gt;90,$BX$15:$BX$16&lt;90),1,0)</f>
        <v>0</v>
      </c>
      <c r="CR16" s="226">
        <f t="array" aca="1" ref="CR16" ca="1">IF(AND($BW$14:$BW$17=$BW$15,$BX$15:$BX$17&lt;90,$BX$14&lt;&gt;$BX$16),1,0)</f>
        <v>0</v>
      </c>
      <c r="CS16" s="226">
        <f t="array" aca="1" ref="CS16" ca="1">IF(AND($BW$14:$BW$17=$BW$16,$BX$14:$BX$16&lt;90,$BX$16&lt;&gt;$BX$17),1,0)</f>
        <v>0</v>
      </c>
      <c r="CT16" s="226">
        <f t="array" aca="1" ref="CT16" ca="1">IF(AND($BW$14:$BW$17=$BW$16,$BX$14:$BX$15&gt;90,$BX$16:$BX$17&lt;90,$BY$14:$BY$17=$BY$16,$BZ$14&gt;$BZ$15,$BZ$15&gt;$BZ$16,$BZ$16=$BZ$17),1,0)</f>
        <v>0</v>
      </c>
      <c r="CU16" s="226">
        <f t="array" aca="1" ref="CU16" ca="1">IF(AND($BW$14:$BW$17=$BW$16,$BX$14&gt;90,$BX$15:$BX$16&lt;90,$BX$17&gt;90,$BY$14:$BY$17=$BY$16,$BZ$14&gt;$BZ$15,$BZ$15=$BZ$16,$BZ$16&gt;$BZ$17),1,0)</f>
        <v>0</v>
      </c>
      <c r="CV16" s="226">
        <f t="array" aca="1" ref="CV16" ca="1">IF(AND($BW$14:$BW$17=$BW$16,$BX$14:$BX$15&lt;90,$BX$16:$BX$17&gt;90,$BY$14:$BY$17=$BY$16,$BZ$14=$BZ$15,$BZ$15&gt;$BZ$16,$BZ$16&gt;$BZ$17),1,0)</f>
        <v>0</v>
      </c>
      <c r="CW16" s="226">
        <f t="array" aca="1" ref="CW16" ca="1">IF(AND($BW$14:$BW$17=$BW$16,$BX$14:$BX$15&gt;90,$BX$16:$BX$17&lt;90,$BY$14:$BY$17=$BY$15,$BZ$14&gt;$BZ$16,$BZ$15:$BZ$17=$BZ$16),1,0)</f>
        <v>0</v>
      </c>
      <c r="CX16" s="226">
        <f t="array" aca="1" ref="CX16" ca="1">IF(AND($BW$14:$BW$17=$BW$16,$BX$14:$BX$15&lt;90,$BX$16:$BX$17&gt;90,$BY$14:$BY$17=$BY$16,$BZ$14:$BZ$16=$BZ$16,$BZ$16&gt;$BZ$17),1,0)</f>
        <v>0</v>
      </c>
      <c r="CY16" s="226">
        <f t="array" aca="1" ref="CY16" ca="1">IF(AND($BW$14:$BW$17=$BW$16,$BX$14&gt;90,$BX$17&gt;90,$BX$15:$BX$16&lt;90,$BY$14:$BY$17=$BY$16,$BZ$14&gt;$BZ$15:$BZ$17,$BZ$15:$BZ$17=$BZ$16),1,0)</f>
        <v>0</v>
      </c>
      <c r="CZ16" s="226"/>
      <c r="DA16" s="226"/>
      <c r="DB16" s="226"/>
      <c r="DC16" s="226"/>
      <c r="DD16" s="226"/>
      <c r="DE16" s="226"/>
      <c r="DF16" s="227">
        <v>4</v>
      </c>
      <c r="DG16" s="227"/>
      <c r="DH16" s="227"/>
      <c r="DI16" s="227"/>
      <c r="DJ16" s="227"/>
      <c r="DK16" s="227"/>
      <c r="DL16" s="227"/>
      <c r="DM16" s="227"/>
      <c r="DN16" s="227"/>
      <c r="DO16" s="227"/>
      <c r="DP16" s="226"/>
      <c r="DQ16" s="226"/>
    </row>
    <row r="17" spans="1:121 8834:8834" ht="15" thickBot="1">
      <c r="A17" s="275"/>
      <c r="B17" s="353"/>
      <c r="C17" s="275"/>
      <c r="D17" s="286"/>
      <c r="E17" s="433"/>
      <c r="F17" s="189">
        <v>43639</v>
      </c>
      <c r="G17" s="190">
        <f t="shared" si="13"/>
        <v>43639.666666666664</v>
      </c>
      <c r="H17" s="189" t="s">
        <v>84</v>
      </c>
      <c r="I17" s="191" t="str">
        <f ca="1">A14</f>
        <v>Colombia</v>
      </c>
      <c r="J17" s="192"/>
      <c r="K17" s="193">
        <v>1</v>
      </c>
      <c r="L17" s="193">
        <v>0</v>
      </c>
      <c r="M17" s="194"/>
      <c r="N17" s="195" t="str">
        <f ca="1">A15</f>
        <v>Paraguay</v>
      </c>
      <c r="O17" s="293">
        <f t="shared" si="15"/>
        <v>1</v>
      </c>
      <c r="P17" s="291"/>
      <c r="Q17" s="210">
        <v>4</v>
      </c>
      <c r="R17" s="211" t="str">
        <f ca="1">VLOOKUP(Q17,$AG$14:$AI$17,3,0)</f>
        <v>Catar</v>
      </c>
      <c r="S17" s="212">
        <f ca="1">VLOOKUP(R17,$AI$14:$AR$17,2,FALSE)</f>
        <v>1</v>
      </c>
      <c r="T17" s="212">
        <f ca="1">VLOOKUP($R17,$AI$14:$AR$17,3,FALSE)</f>
        <v>3</v>
      </c>
      <c r="U17" s="212">
        <f ca="1">VLOOKUP($R17,$AI$14:$AR$17,4,FALSE)</f>
        <v>0</v>
      </c>
      <c r="V17" s="212">
        <f ca="1">VLOOKUP($R17,$AI$14:$AR$17,5,FALSE)</f>
        <v>1</v>
      </c>
      <c r="W17" s="212">
        <f ca="1">VLOOKUP($R17,$AI$14:$AR$17,6,FALSE)</f>
        <v>2</v>
      </c>
      <c r="X17" s="212">
        <f ca="1">VLOOKUP($R17,$AI$14:$AR$17,7,FALSE)</f>
        <v>2</v>
      </c>
      <c r="Y17" s="212">
        <f ca="1">VLOOKUP($R17,$AI$14:$AR$17,8,FALSE)</f>
        <v>5</v>
      </c>
      <c r="Z17" s="213">
        <f ca="1">VLOOKUP($R17,$AI$14:$AR$17,9,FALSE)</f>
        <v>-3</v>
      </c>
      <c r="AA17" s="297">
        <f ca="1">IF(SUM($AK$14:$AK$17)=12,MIN(ABS(BS16-BS17),ABS(BS17-BS27)),100)</f>
        <v>970210999.91999996</v>
      </c>
      <c r="AB17" s="345" t="str">
        <f ca="1">IF(AND(AA17&gt;=0,AA17&lt;90),VLOOKUP(Q17,$BO$14:$BP$17,2,0),"")</f>
        <v/>
      </c>
      <c r="AC17" s="346"/>
      <c r="AD17" s="297"/>
      <c r="AE17" s="297"/>
      <c r="AF17" s="225">
        <f ca="1">VLOOKUP($R17,$AI$14:$AR$17,10,FALSE)</f>
        <v>970210999.91999996</v>
      </c>
      <c r="AG17" s="226">
        <f ca="1">RANK(AU17,$AU$14:$AU$17)</f>
        <v>4</v>
      </c>
      <c r="AH17" s="226">
        <f ca="1">RANK(AR17,$AR$14:$AR$17)</f>
        <v>4</v>
      </c>
      <c r="AI17" s="227" t="str">
        <f ca="1">A16</f>
        <v>Catar</v>
      </c>
      <c r="AJ17" s="226">
        <f ca="1">AL17*3+AM17*1+AN17*0</f>
        <v>1</v>
      </c>
      <c r="AK17" s="226">
        <f ca="1">COUNTIFS($I$12:$I$17,AI17,$K$12:$K$17,"&lt;&gt;",$L$12:$L$17,"&lt;&gt;")+COUNTIFS($N$12:$N$17,AI17,$L$12:$L$17,"&lt;&gt;",$K$12:$K$17,"&lt;&gt;")</f>
        <v>3</v>
      </c>
      <c r="AL17" s="226">
        <f t="array" aca="1" ref="AL17" ca="1">SUM((I$12:I$17=AI17)*(K$12:K$17&lt;&gt;"")*(L$12:L$17&lt;&gt;"")*(K$12:K$17&gt;L$12:L$17),(N$12:N$17=AI17)*(K$12:K$17&lt;&gt;"")*(L$12:L$17&lt;&gt;"")*(K$12:K$17&lt;L$12:L$17))</f>
        <v>0</v>
      </c>
      <c r="AM17" s="226">
        <f t="array" aca="1" ref="AM17" ca="1">SUM((I$12:I$17=AI17)*(K$12:K$17&lt;&gt;"")*(L$12:L$17&lt;&gt;"")*(K$12:K$17=L$12:L$17),(N$12:N$17=AI17)*(K$12:K$17&lt;&gt;"")*(L$12:L$17&lt;&gt;"")*(K$12:K$17=L$12:L$17))</f>
        <v>1</v>
      </c>
      <c r="AN17" s="226">
        <f t="array" aca="1" ref="AN17" ca="1">SUM((I$12:I$17=AI17)*(L$12:L$17&lt;&gt;"")*(K$12:K$17&lt;&gt;"")*(K$12:K$17&lt;L$12:L$17),(K$12:K$17&lt;&gt;"")*(N$12:N$17=AI17)*(L$12:L$17&lt;&gt;"")*(K$12:K$17&gt;L$12:L$17))</f>
        <v>2</v>
      </c>
      <c r="AO17" s="226">
        <f t="array" aca="1" ref="AO17" ca="1">SUMIFS($K$12:$K$17,$I$12:$I$17,AI17,$K$12:$K$17,"&lt;&gt;",$L$12:$L$17,"&lt;&gt;")+SUMIFS($L$12:$L$17,$N$12:$N$17,AI17,$K$12:$K$17,"&lt;&gt;",$L$12:$L$17,"&lt;&gt;")</f>
        <v>2</v>
      </c>
      <c r="AP17" s="226">
        <f t="array" aca="1" ref="AP17" ca="1">SUMIFS($K$12:$K$17,$N$12:$N$17,AI17,$K$12:$K$17,"&lt;&gt;",$L$12:$L$17,"&lt;&gt;")+SUMIFS($L$12:$L$17,$I$12:$I$17,AI17,$K$12:$K$17,"&lt;&gt;",$L$12:$L$17,"&lt;&gt;")</f>
        <v>5</v>
      </c>
      <c r="AQ17" s="226">
        <f ca="1">AO17-AP17</f>
        <v>-3</v>
      </c>
      <c r="AR17" s="226">
        <f ca="1">IF(AK17=0,-($AW$9*VLOOKUP(AI17,Tabla3[[NombreEquipo]:[Rank]],3,FALSE)),AJ17*$AW$4+AQ17*$AW$5+AO17*$AW$6+BA17-($AW$9*VLOOKUP(AI17,Tabla3[[NombreEquipo]:[Rank]],3,FALSE)/100))</f>
        <v>970210999.91999996</v>
      </c>
      <c r="AS17" s="226">
        <f ca="1">AH17</f>
        <v>4</v>
      </c>
      <c r="AT17" s="226"/>
      <c r="AU17" s="226">
        <f ca="1">IFERROR(AR17-VLOOKUP(AI17,$AB$14:$AC$17,2,0),AR17)</f>
        <v>970210999.91999996</v>
      </c>
      <c r="AV17" s="230"/>
      <c r="AW17" s="231"/>
      <c r="AX17" s="226"/>
      <c r="AY17" s="232" t="str">
        <f ca="1">AI17</f>
        <v>Catar</v>
      </c>
      <c r="AZ17" s="226">
        <f ca="1">COUNTIF(AJ14:AJ17,AJ17)</f>
        <v>1</v>
      </c>
      <c r="BA17" s="226">
        <f ca="1">(BB17*$AW$8)+(BH17*$AW$7)</f>
        <v>11000</v>
      </c>
      <c r="BB17" s="233">
        <f ca="1">RANK(BC17,BC14:BC17,1)</f>
        <v>1</v>
      </c>
      <c r="BC17" s="233">
        <f ca="1">SUM(IF(AND(AJ17=AJ14,AQ17=AQ14,AO17=AO14),BD17,0),IF(AND(AJ17=AJ15,AQ17=AQ15,AO17=AO15),BE17,0),IF(AND(AJ17=AJ16,AQ17=AQ16,AO17=AO16),BF17,0))</f>
        <v>0</v>
      </c>
      <c r="BD17" s="233">
        <f t="array" aca="1" ref="BD17" ca="1">SUMIFS($K$12:$K$17,$I$12:$I$17,$AY17,$K$12:$K$17,"&lt;&gt;",$L$12:$L$17,"&lt;&gt;",$N$12:$N$17,BD13)+SUMIFS($L$12:$L$17,$I$12:$I$17,BD13,$K$12:$K$17,"&lt;&gt;",$L$12:$L$17,"&lt;&gt;",$N$12:$N$17,$AY17)</f>
        <v>0</v>
      </c>
      <c r="BE17" s="233">
        <f t="array" aca="1" ref="BE17" ca="1">SUMIFS($K$12:$K$17,$I$12:$I$17,$AY17,$K$12:$K$17,"&lt;&gt;",$L$12:$L$17,"&lt;&gt;",$N$12:$N$17,BE13)+SUMIFS($L$12:$L$17,$I$12:$I$17,BE13,$K$12:$K$17,"&lt;&gt;",$L$12:$L$17,"&lt;&gt;",$N$12:$N$17,$AY17)</f>
        <v>0</v>
      </c>
      <c r="BF17" s="233">
        <f t="array" aca="1" ref="BF17" ca="1">SUMIFS($K$12:$K$17,$I$12:$I$17,$AY17,$K$12:$K$17,"&lt;&gt;",$L$12:$L$17,"&lt;&gt;",$N$12:$N$17,BF13)+SUMIFS($L$12:$L$17,$I$12:$I$17,BF13,$K$12:$K$17,"&lt;&gt;",$L$12:$L$17,"&lt;&gt;",$N$12:$N$17,$AY17)</f>
        <v>2</v>
      </c>
      <c r="BG17" s="233">
        <v>0</v>
      </c>
      <c r="BH17" s="233">
        <f ca="1">RANK(BI17,BI14:BI17,1)</f>
        <v>1</v>
      </c>
      <c r="BI17" s="233">
        <f ca="1">SUM(IF(AND(AJ17=AJ14,AQ17=AQ14,AO17=AO14),BJ17,0),IF(AND(AJ17=AJ15,AQ17=AQ15,AO17=AO15),BK17,0),IF(AND(AJ17=AJ16,AQ17=AQ16,AO17=AO16),BL17,0))</f>
        <v>0</v>
      </c>
      <c r="BJ17" s="233">
        <f ca="1">BD17-BG14</f>
        <v>-2</v>
      </c>
      <c r="BK17" s="233">
        <f ca="1">BE17-BG15</f>
        <v>-1</v>
      </c>
      <c r="BL17" s="233">
        <f ca="1">BF17-BG16</f>
        <v>0</v>
      </c>
      <c r="BM17" s="233">
        <v>0</v>
      </c>
      <c r="BN17" s="227">
        <v>4</v>
      </c>
      <c r="BO17" s="227">
        <f ca="1">RANK(BQ17,$BQ$14:$BQ$17)</f>
        <v>4</v>
      </c>
      <c r="BP17" s="227" t="str">
        <f ca="1">A16</f>
        <v>Catar</v>
      </c>
      <c r="BQ17" s="227">
        <f ca="1">IF(AK17=0,-($AW$9*VLOOKUP(AI17,Tabla3[[NombreEquipo]:[Rank]],3,FALSE)),AJ17*$AW$4+AQ17*$AW$5+AO17*$AW$6+BA17-($AW$9*VLOOKUP(AI17,Tabla3[[NombreEquipo]:[Rank]],3,FALSE)/100))</f>
        <v>970210999.91999996</v>
      </c>
      <c r="BR17" s="227" t="str">
        <f ca="1">VLOOKUP(Q17,$AH$14:$AI$17,2,0)</f>
        <v>Catar</v>
      </c>
      <c r="BS17" s="227">
        <f ca="1">VLOOKUP($BR17,$AI$14:$AR$17,10,FALSE)</f>
        <v>970210999.91999996</v>
      </c>
      <c r="BT17" s="227"/>
      <c r="BU17" s="227">
        <v>4</v>
      </c>
      <c r="BV17" s="227" t="str">
        <f ca="1">VLOOKUP(BU17,$AH$14:$AI$17,2,0)</f>
        <v>Catar</v>
      </c>
      <c r="BW17" s="227">
        <f ca="1">VLOOKUP(BV17,$AI$14:$AR$17,2,FALSE)</f>
        <v>1</v>
      </c>
      <c r="BX17" s="234">
        <f ca="1">IF(SUM($AK$14:$AK$17)=12,MIN(ABS(BS16-BS17),ABS(BS17-BS27)),100)</f>
        <v>970210999.91999996</v>
      </c>
      <c r="BY17" s="227">
        <f ca="1">VLOOKUP($BV17,$AI$14:$AR$17,9,FALSE)</f>
        <v>-3</v>
      </c>
      <c r="BZ17" s="227">
        <f ca="1">VLOOKUP($BV17,$AI$14:$AR$17,7,FALSE)</f>
        <v>2</v>
      </c>
      <c r="CA17" s="227">
        <f t="array" aca="1" ref="CA17" ca="1">IF($CB$14=$CD$13,$DF$13:$DF$16,IF(OR($CB$14=$CF$13,$CB$14=$CJ$13),$DJ$13:$DJ$14,IF($CB$14=$CH$13,$DI$13:$DI$15,$DO$13)))</f>
        <v>4</v>
      </c>
      <c r="CB17" s="226"/>
      <c r="CC17" s="226">
        <v>4</v>
      </c>
      <c r="CD17" s="226">
        <f t="array" aca="1" ref="CD17" ca="1">IF(AND($BW$14:$BW$17=$BW$17,$BX$14:$BX$17&lt;90,$AQ$14:$AQ$17=$AQ$17,$BZ$14:$BZ$17=$BZ$17),1,0)</f>
        <v>0</v>
      </c>
      <c r="CE17" s="226">
        <f t="array" aca="1" ref="CE17" ca="1">IF(AND($BW$14:$BW$16=$BW$14,$BX$14:$BX$16&lt;90,$BX$17&gt;90,$BW$14&lt;&gt;$BW$17),1,0)</f>
        <v>0</v>
      </c>
      <c r="CF17" s="226">
        <f t="array" aca="1" ref="CF17" ca="1">IF(AND($BW$16:$BW$17=$BW$16,$BX$16:$BX$17&lt;90,$BW$16&lt;&gt;$BW$15),1,0)</f>
        <v>0</v>
      </c>
      <c r="CG17" s="226">
        <f t="array" aca="1" ref="CG17" ca="1">IF(AND($BW$17&lt;&gt;$BW$15,$BW$17&lt;&gt;$BW$14),1,0)</f>
        <v>1</v>
      </c>
      <c r="CH17" s="226">
        <f t="array" aca="1" ref="CH17" ca="1">IF(AND($BW$15:$BW$17=$BW$15,$BX$15:$BX$17&lt;90,$BW$14&lt;&gt;$BW$17),1,0)</f>
        <v>0</v>
      </c>
      <c r="CI17" s="226">
        <f t="array" aca="1" ref="CI17" ca="1">IF(AND($BW$17&lt;&gt;$BW$15,$BW$17&lt;&gt;$BW$14),1,0)</f>
        <v>1</v>
      </c>
      <c r="CJ17" s="226">
        <f t="array" aca="1" ref="CJ17" ca="1">IF(AND($BW$16:$BW$17=$BW$16,$BX$16:$BX$17&lt;90,$BW$16&lt;&gt;$BW$15),1,0)</f>
        <v>0</v>
      </c>
      <c r="CK17" s="226">
        <f t="array" aca="1" ref="CK17" ca="1">IF(AND($BW$17&lt;&gt;$BW$15,$BW$17&lt;&gt;$BW$14),1,0)</f>
        <v>1</v>
      </c>
      <c r="CL17" s="226">
        <f t="array" aca="1" ref="CL17" ca="1">IF(AND($BW$14:$BW$17=$BW$14,$BX$14:$BX$17&lt;90,$BY$16:$BY$17=$BY$17,$BY$15&lt;&gt;$BY$17),1,0)</f>
        <v>0</v>
      </c>
      <c r="CM17" s="226">
        <f t="array" aca="1" ref="CM17" ca="1">IF(AND($BW$14:$BW$17=$BW$14,$BX$14:$BX$17&lt;90,$BY$14:$BY$17=$BY$14,$BZ$16=$BZ$17,$BZ$15&lt;&gt;$BZ$16),1,0)</f>
        <v>0</v>
      </c>
      <c r="CN17" s="226">
        <f t="array" aca="1" ref="CN17" ca="1">IF(AND($BW$14:$BW$16=$BW$14,$BX$14:$BX$15&lt;90,$BW$16&lt;&gt;$BW$17),1,0)</f>
        <v>0</v>
      </c>
      <c r="CO17" s="226">
        <f t="array" aca="1" ref="CO17" ca="1">IF(AND($BW$15&lt;&gt;$BW$14,$BW$15:$BW$17=$BW$16,$BX$15&gt;90,$BX$16:$BX$17&lt;90),1,0)</f>
        <v>0</v>
      </c>
      <c r="CP17" s="226">
        <f t="array" aca="1" ref="CP17" ca="1">IF(AND($BW$15&lt;&gt;$BW$14,$BW$15:$BW$17=$BW$15,$BX$17&gt;90,$BX$15:$BX$16&lt;90),1,0)</f>
        <v>0</v>
      </c>
      <c r="CQ17" s="226">
        <f t="array" aca="1" ref="CQ17" ca="1">IF(AND($BW$17&lt;&gt;$BW$15,$BW$17&lt;&gt;$BW$16),1,0)</f>
        <v>1</v>
      </c>
      <c r="CR17" s="226">
        <f t="array" aca="1" ref="CR17" ca="1">IF(AND($BW$14:$BW$17=$BW$15,$BX$15:$BX$17&lt;90,$BX$14&lt;&gt;$BX$17),1,0)</f>
        <v>0</v>
      </c>
      <c r="CS17" s="226">
        <f t="array" aca="1" ref="CS17" ca="1">IF(AND($BW$14:$BW$17=$BW$14,$BX$14:$BX$16&lt;90,$BX$16&lt;&gt;$BX$17),1,0)</f>
        <v>0</v>
      </c>
      <c r="CT17" s="226">
        <f t="array" aca="1" ref="CT17" ca="1">IF(AND($BW$14:$BW$17=$BW$17,$BX$14:$BX$15&gt;90,$BX$16:$BX$17&lt;90,$BY$14:$BY$17=$BY$17,$BZ$14&gt;$BZ$15,$BZ$15&gt;$BZ$17,$BZ$16=$BZ$17),1,0)</f>
        <v>0</v>
      </c>
      <c r="CU17" s="226">
        <f t="array" aca="1" ref="CU17" ca="1">IF(AND($BW$14:$BW$17=$BW$15,$BX$14&gt;90,$BX$15:$BX$16&lt;90,$BX$17&gt;90,$BY$14:$BY$17=$BY$17,$BZ$14&gt;$BZ$17,$BZ$15=$BZ$16,$BZ$15&gt;$BZ$17),1,0)</f>
        <v>0</v>
      </c>
      <c r="CV17" s="226">
        <f t="array" aca="1" ref="CV17" ca="1">IF(AND($BW$14:$BW$17=$BW$17,$BX$14:$BX$15&lt;90,$BX$16:$BX$17&gt;90,$BY$14:$BY$17=$BY$17,$BZ$14=$BZ$15,$BZ$15&gt;$BZ$16,$BZ$16&gt;$BZ$17),1,0)</f>
        <v>0</v>
      </c>
      <c r="CW17" s="226">
        <f t="array" aca="1" ref="CW17" ca="1">IF(AND($BW$14:$BW$17=$BW$17,$BX$14:$BX$15&gt;90,$BX$16:$BX$17&lt;90,$BY$14:$BY$17=$BY$17,$BZ$14&gt;$BZ$17,$BZ$15:$BZ$17=$BZ$17),1,0)</f>
        <v>0</v>
      </c>
      <c r="CX17" s="226">
        <f t="array" aca="1" ref="CX17" ca="1">IF(AND($BW$14:$BW$17=$BW$17,$BX$14:$BX$15&lt;90,$BX$16:$BX$17&gt;90,$BY$14:$BY$17=$BY$17,$BZ$14:$BZ$16=$BZ$16,$BZ$14:$BZ$16&gt;$BZ$17),1,0)</f>
        <v>0</v>
      </c>
      <c r="CY17" s="226">
        <f t="array" aca="1" ref="CY17" ca="1">IF(AND($BW$14:$BW$17=$BW$17,$BX$14&gt;90,$BX$17&gt;90,$BX$15:$BX$16&lt;90,$BY$14:$BY$17=$BY$17,$BZ$14&gt;$BZ$15:$BZ$17,$BZ$15:$BZ$17=$BZ$17),1,0)</f>
        <v>0</v>
      </c>
      <c r="CZ17" s="226"/>
      <c r="DA17" s="226"/>
      <c r="DB17" s="226"/>
      <c r="DC17" s="226"/>
      <c r="DD17" s="226"/>
      <c r="DE17" s="226"/>
      <c r="DF17" s="226"/>
      <c r="DG17" s="226"/>
      <c r="DH17" s="226"/>
      <c r="DI17" s="226"/>
      <c r="DJ17" s="226"/>
      <c r="DK17" s="226"/>
      <c r="DL17" s="226"/>
      <c r="DM17" s="226"/>
      <c r="DN17" s="226"/>
      <c r="DO17" s="226"/>
      <c r="DP17" s="226"/>
      <c r="DQ17" s="226"/>
    </row>
    <row r="18" spans="1:121 8834:8834">
      <c r="A18" s="220"/>
      <c r="B18" s="252"/>
      <c r="C18" s="220"/>
      <c r="D18" s="286"/>
      <c r="E18" s="270"/>
      <c r="F18" s="298"/>
      <c r="G18" s="287"/>
      <c r="H18" s="270"/>
      <c r="I18" s="270"/>
      <c r="J18" s="270"/>
      <c r="K18" s="270"/>
      <c r="L18" s="270"/>
      <c r="M18" s="270"/>
      <c r="N18" s="270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99"/>
      <c r="AD18" s="297"/>
      <c r="AE18" s="297"/>
      <c r="AF18" s="225"/>
      <c r="AG18" s="226"/>
      <c r="AH18" s="226"/>
      <c r="AI18" s="227"/>
      <c r="AJ18" s="226"/>
      <c r="AK18" s="226"/>
      <c r="AL18" s="226"/>
      <c r="AM18" s="226"/>
      <c r="AN18" s="226"/>
      <c r="AO18" s="226"/>
      <c r="AP18" s="226"/>
      <c r="AQ18" s="226"/>
      <c r="AR18" s="226"/>
      <c r="AS18" s="226"/>
      <c r="AT18" s="226"/>
      <c r="AU18" s="226"/>
      <c r="AV18" s="230"/>
      <c r="AW18" s="231"/>
      <c r="AX18" s="226"/>
      <c r="AY18" s="232"/>
      <c r="AZ18" s="226"/>
      <c r="BA18" s="226"/>
      <c r="BB18" s="233"/>
      <c r="BC18" s="233"/>
      <c r="BD18" s="233"/>
      <c r="BE18" s="233"/>
      <c r="BF18" s="233"/>
      <c r="BG18" s="233"/>
      <c r="BH18" s="233"/>
      <c r="BI18" s="233"/>
      <c r="BJ18" s="233"/>
      <c r="BK18" s="233"/>
      <c r="BL18" s="233"/>
      <c r="BM18" s="233"/>
      <c r="BN18" s="227"/>
      <c r="BO18" s="227"/>
      <c r="BP18" s="227"/>
      <c r="BQ18" s="227"/>
      <c r="BR18" s="227"/>
      <c r="BS18" s="227"/>
      <c r="BT18" s="227"/>
      <c r="BU18" s="227"/>
      <c r="BV18" s="227"/>
      <c r="BW18" s="227"/>
      <c r="BX18" s="234"/>
      <c r="BY18" s="227"/>
      <c r="BZ18" s="227"/>
      <c r="CA18" s="227"/>
      <c r="CB18" s="226"/>
      <c r="CC18" s="226"/>
      <c r="CD18" s="226"/>
      <c r="CE18" s="226"/>
      <c r="CF18" s="226"/>
      <c r="CG18" s="226"/>
      <c r="CH18" s="226"/>
      <c r="CI18" s="226"/>
      <c r="CJ18" s="226"/>
      <c r="CK18" s="226"/>
      <c r="CL18" s="226"/>
      <c r="CM18" s="226"/>
      <c r="CN18" s="226"/>
      <c r="CO18" s="226"/>
      <c r="CP18" s="226"/>
      <c r="CQ18" s="226"/>
      <c r="CR18" s="226"/>
      <c r="CS18" s="226"/>
      <c r="CT18" s="226"/>
      <c r="CU18" s="226"/>
      <c r="CV18" s="226"/>
      <c r="CW18" s="226"/>
      <c r="CX18" s="226"/>
      <c r="CY18" s="226"/>
      <c r="CZ18" s="226"/>
      <c r="DA18" s="226"/>
      <c r="DB18" s="226"/>
      <c r="DC18" s="226"/>
      <c r="DD18" s="226"/>
      <c r="DE18" s="226"/>
      <c r="DF18" s="226"/>
      <c r="DG18" s="226"/>
      <c r="DH18" s="226"/>
      <c r="DI18" s="226"/>
      <c r="DJ18" s="226"/>
      <c r="DK18" s="226"/>
      <c r="DL18" s="226"/>
      <c r="DM18" s="226"/>
      <c r="DN18" s="226"/>
      <c r="DO18" s="226"/>
      <c r="DP18" s="226"/>
      <c r="DQ18" s="226"/>
    </row>
    <row r="19" spans="1:121 8834:8834" ht="15" thickBot="1">
      <c r="A19" s="220"/>
      <c r="B19" s="252"/>
      <c r="C19" s="220"/>
      <c r="D19" s="275"/>
      <c r="E19" s="279"/>
      <c r="F19" s="280" t="str">
        <f>F3</f>
        <v>Fecha</v>
      </c>
      <c r="G19" s="280" t="str">
        <f t="shared" ref="G19:N19" si="19">G3</f>
        <v>Hora</v>
      </c>
      <c r="H19" s="281" t="str">
        <f t="shared" si="19"/>
        <v>Jor.</v>
      </c>
      <c r="I19" s="282" t="str">
        <f t="shared" si="19"/>
        <v>Casa</v>
      </c>
      <c r="J19" s="280"/>
      <c r="K19" s="283" t="str">
        <f t="shared" si="19"/>
        <v>Gol</v>
      </c>
      <c r="L19" s="283" t="str">
        <f t="shared" si="19"/>
        <v>Gol</v>
      </c>
      <c r="M19" s="283"/>
      <c r="N19" s="284" t="str">
        <f t="shared" si="19"/>
        <v>Fuera</v>
      </c>
      <c r="O19" s="277"/>
      <c r="P19" s="277"/>
      <c r="Q19" s="277"/>
      <c r="R19" s="277"/>
      <c r="S19" s="277"/>
      <c r="T19" s="277"/>
      <c r="U19" s="277"/>
      <c r="V19" s="277"/>
      <c r="W19" s="277"/>
      <c r="X19" s="277"/>
      <c r="Y19" s="277"/>
      <c r="Z19" s="277"/>
      <c r="AA19" s="278"/>
      <c r="AB19" s="278"/>
      <c r="AC19" s="278"/>
      <c r="AD19" s="278"/>
      <c r="AE19" s="278"/>
      <c r="AF19" s="225"/>
      <c r="AG19" s="226"/>
      <c r="AH19" s="226"/>
      <c r="AI19" s="226"/>
      <c r="AJ19" s="226"/>
      <c r="AK19" s="226"/>
      <c r="AL19" s="226"/>
      <c r="AM19" s="226"/>
      <c r="AN19" s="226"/>
      <c r="AO19" s="226"/>
      <c r="AP19" s="226"/>
      <c r="AQ19" s="226"/>
      <c r="AR19" s="226"/>
      <c r="AS19" s="226"/>
      <c r="AT19" s="226"/>
      <c r="AU19" s="226"/>
      <c r="AV19" s="230"/>
      <c r="AW19" s="231"/>
      <c r="AX19" s="226"/>
      <c r="AY19" s="226"/>
      <c r="AZ19" s="226"/>
      <c r="BA19" s="226"/>
      <c r="BB19" s="226"/>
      <c r="BC19" s="226"/>
      <c r="BD19" s="226"/>
      <c r="BE19" s="226"/>
      <c r="BF19" s="226"/>
      <c r="BG19" s="226"/>
      <c r="BH19" s="226"/>
      <c r="BI19" s="226"/>
      <c r="BJ19" s="226"/>
      <c r="BK19" s="226"/>
      <c r="BL19" s="226"/>
      <c r="BM19" s="226"/>
      <c r="BN19" s="226"/>
      <c r="BO19" s="226"/>
      <c r="BP19" s="226"/>
      <c r="BQ19" s="226"/>
      <c r="BR19" s="226"/>
      <c r="BS19" s="226"/>
      <c r="BT19" s="226"/>
      <c r="BU19" s="226"/>
      <c r="BV19" s="226"/>
      <c r="BW19" s="226"/>
      <c r="BX19" s="226"/>
      <c r="BY19" s="226"/>
      <c r="BZ19" s="226"/>
      <c r="CA19" s="227"/>
      <c r="CB19" s="226"/>
      <c r="CC19" s="226"/>
      <c r="CD19" s="225">
        <v>1</v>
      </c>
      <c r="CE19" s="225">
        <v>12</v>
      </c>
      <c r="CF19" s="225">
        <v>18</v>
      </c>
      <c r="CG19" s="225">
        <v>19</v>
      </c>
      <c r="CH19" s="225">
        <v>13</v>
      </c>
      <c r="CI19" s="225">
        <v>20</v>
      </c>
      <c r="CJ19" s="225">
        <v>21</v>
      </c>
      <c r="CK19" s="225">
        <v>22</v>
      </c>
      <c r="CL19" s="225">
        <v>3</v>
      </c>
      <c r="CM19" s="225">
        <v>2</v>
      </c>
      <c r="CN19" s="225">
        <v>14</v>
      </c>
      <c r="CO19" s="225">
        <v>17</v>
      </c>
      <c r="CP19" s="225">
        <v>16</v>
      </c>
      <c r="CQ19" s="225">
        <v>15</v>
      </c>
      <c r="CR19" s="225">
        <v>4</v>
      </c>
      <c r="CS19" s="225">
        <v>5</v>
      </c>
      <c r="CT19" s="225">
        <v>10</v>
      </c>
      <c r="CU19" s="225">
        <v>8</v>
      </c>
      <c r="CV19" s="225">
        <v>6</v>
      </c>
      <c r="CW19" s="225">
        <v>11</v>
      </c>
      <c r="CX19" s="225">
        <v>7</v>
      </c>
      <c r="CY19" s="225">
        <v>9</v>
      </c>
      <c r="CZ19" s="225" t="s">
        <v>75</v>
      </c>
      <c r="DA19" s="225" t="s">
        <v>75</v>
      </c>
      <c r="DB19" s="226"/>
      <c r="DC19" s="226"/>
      <c r="DD19" s="226"/>
      <c r="DE19" s="226"/>
      <c r="DF19" s="227" t="s">
        <v>55</v>
      </c>
      <c r="DG19" s="227" t="s">
        <v>56</v>
      </c>
      <c r="DH19" s="227" t="s">
        <v>58</v>
      </c>
      <c r="DI19" s="227" t="s">
        <v>59</v>
      </c>
      <c r="DJ19" s="227" t="s">
        <v>60</v>
      </c>
      <c r="DK19" s="227" t="s">
        <v>61</v>
      </c>
      <c r="DL19" s="227" t="s">
        <v>62</v>
      </c>
      <c r="DM19" s="227" t="s">
        <v>63</v>
      </c>
      <c r="DN19" s="227" t="s">
        <v>64</v>
      </c>
      <c r="DO19" s="227" t="s">
        <v>65</v>
      </c>
      <c r="DP19" s="226"/>
      <c r="DQ19" s="226"/>
    </row>
    <row r="20" spans="1:121 8834:8834" ht="15" customHeight="1">
      <c r="A20" s="251" t="s">
        <v>87</v>
      </c>
      <c r="B20" s="252" t="s">
        <v>2</v>
      </c>
      <c r="C20" s="220">
        <f>COUNTIF(Equipos!$C$2:$C$13,'COPA AMERICA'!B20)</f>
        <v>4</v>
      </c>
      <c r="D20" s="286"/>
      <c r="E20" s="431" t="s">
        <v>2</v>
      </c>
      <c r="F20" s="181">
        <v>43632</v>
      </c>
      <c r="G20" s="182">
        <f t="shared" ref="G20:G25" si="20">BV53+VLOOKUP($G$2,$BO$39:$BS$51,4,0)*VLOOKUP($G$2,$BO$39:$BS$51,5,0)</f>
        <v>43632.791666666664</v>
      </c>
      <c r="H20" s="181" t="s">
        <v>82</v>
      </c>
      <c r="I20" s="183" t="str">
        <f ca="1">A21</f>
        <v>Uruguay</v>
      </c>
      <c r="J20" s="184"/>
      <c r="K20" s="185">
        <v>4</v>
      </c>
      <c r="L20" s="185">
        <v>0</v>
      </c>
      <c r="M20" s="186"/>
      <c r="N20" s="187" t="str">
        <f ca="1">A22</f>
        <v>Ecuador</v>
      </c>
      <c r="O20" s="293">
        <f>IF(NOT(OR(ISBLANK(K20),ISBLANK(L20))),1,0)</f>
        <v>1</v>
      </c>
      <c r="P20" s="291"/>
      <c r="Q20" s="197" t="str">
        <f>CONCATENATE("Grupo"," ",B20)</f>
        <v>Grupo C</v>
      </c>
      <c r="R20" s="198"/>
      <c r="S20" s="198"/>
      <c r="T20" s="198"/>
      <c r="U20" s="198"/>
      <c r="V20" s="198"/>
      <c r="W20" s="198"/>
      <c r="X20" s="198"/>
      <c r="Y20" s="198"/>
      <c r="Z20" s="199"/>
      <c r="AA20" s="338"/>
      <c r="AB20" s="434" t="s">
        <v>80</v>
      </c>
      <c r="AC20" s="434"/>
      <c r="AD20" s="434"/>
      <c r="AE20" s="303"/>
      <c r="AF20" s="225"/>
      <c r="AG20" s="226"/>
      <c r="AH20" s="226" t="str">
        <f>CONCATENATE("Auxiliar - ",Q20)</f>
        <v>Auxiliar - Grupo C</v>
      </c>
      <c r="AI20" s="226"/>
      <c r="AJ20" s="226"/>
      <c r="AK20" s="226"/>
      <c r="AL20" s="226"/>
      <c r="AM20" s="226"/>
      <c r="AN20" s="226"/>
      <c r="AO20" s="226"/>
      <c r="AP20" s="226"/>
      <c r="AQ20" s="226"/>
      <c r="AR20" s="226"/>
      <c r="AS20" s="226"/>
      <c r="AT20" s="226"/>
      <c r="AU20" s="226" t="s">
        <v>52</v>
      </c>
      <c r="AV20" s="230"/>
      <c r="AW20" s="231"/>
      <c r="AX20" s="226"/>
      <c r="AY20" s="225" t="str">
        <f>CONCATENATE(Q20," - GOLAVERAGE")</f>
        <v>Grupo C - GOLAVERAGE</v>
      </c>
      <c r="AZ20" s="226"/>
      <c r="BA20" s="226"/>
      <c r="BB20" s="435" t="s">
        <v>30</v>
      </c>
      <c r="BC20" s="435"/>
      <c r="BD20" s="435"/>
      <c r="BE20" s="435"/>
      <c r="BF20" s="435"/>
      <c r="BG20" s="435"/>
      <c r="BH20" s="435" t="s">
        <v>29</v>
      </c>
      <c r="BI20" s="435"/>
      <c r="BJ20" s="435"/>
      <c r="BK20" s="435"/>
      <c r="BL20" s="435"/>
      <c r="BM20" s="435"/>
      <c r="BN20" s="227"/>
      <c r="BO20" s="227"/>
      <c r="BP20" s="227"/>
      <c r="BQ20" s="227"/>
      <c r="BR20" s="227"/>
      <c r="BS20" s="227"/>
      <c r="BT20" s="227"/>
      <c r="BU20" s="227"/>
      <c r="BV20" s="227"/>
      <c r="BW20" s="227"/>
      <c r="BX20" s="227"/>
      <c r="BY20" s="227"/>
      <c r="BZ20" s="227"/>
      <c r="CA20" s="227"/>
      <c r="CB20" s="226" t="s">
        <v>77</v>
      </c>
      <c r="CC20" s="226" t="s">
        <v>78</v>
      </c>
      <c r="CD20" s="226">
        <f ca="1">SUM(CD22:CD25)</f>
        <v>0</v>
      </c>
      <c r="CE20" s="226">
        <f t="shared" ref="CE20:DA20" ca="1" si="21">SUM(CE22:CE25)</f>
        <v>0</v>
      </c>
      <c r="CF20" s="226">
        <f t="shared" ca="1" si="21"/>
        <v>0</v>
      </c>
      <c r="CG20" s="226">
        <f t="shared" ca="1" si="21"/>
        <v>2</v>
      </c>
      <c r="CH20" s="226">
        <f t="shared" ca="1" si="21"/>
        <v>0</v>
      </c>
      <c r="CI20" s="226">
        <f t="shared" ca="1" si="21"/>
        <v>2</v>
      </c>
      <c r="CJ20" s="226">
        <f t="shared" ca="1" si="21"/>
        <v>2</v>
      </c>
      <c r="CK20" s="226">
        <f t="shared" ca="1" si="21"/>
        <v>3</v>
      </c>
      <c r="CL20" s="226">
        <f t="shared" ca="1" si="21"/>
        <v>0</v>
      </c>
      <c r="CM20" s="226">
        <f t="shared" ca="1" si="21"/>
        <v>0</v>
      </c>
      <c r="CN20" s="226">
        <f t="shared" ca="1" si="21"/>
        <v>0</v>
      </c>
      <c r="CO20" s="226">
        <f t="shared" ca="1" si="21"/>
        <v>1</v>
      </c>
      <c r="CP20" s="226">
        <f t="shared" ca="1" si="21"/>
        <v>1</v>
      </c>
      <c r="CQ20" s="226">
        <f t="shared" ca="1" si="21"/>
        <v>0</v>
      </c>
      <c r="CR20" s="226">
        <f t="shared" ca="1" si="21"/>
        <v>0</v>
      </c>
      <c r="CS20" s="226">
        <f t="shared" ca="1" si="21"/>
        <v>0</v>
      </c>
      <c r="CT20" s="226">
        <f t="shared" ca="1" si="21"/>
        <v>0</v>
      </c>
      <c r="CU20" s="226">
        <f t="shared" ca="1" si="21"/>
        <v>0</v>
      </c>
      <c r="CV20" s="226">
        <f t="shared" ca="1" si="21"/>
        <v>0</v>
      </c>
      <c r="CW20" s="226">
        <f t="shared" ca="1" si="21"/>
        <v>0</v>
      </c>
      <c r="CX20" s="226">
        <f t="shared" ca="1" si="21"/>
        <v>0</v>
      </c>
      <c r="CY20" s="226">
        <f t="shared" ca="1" si="21"/>
        <v>0</v>
      </c>
      <c r="CZ20" s="226">
        <f t="shared" si="21"/>
        <v>0</v>
      </c>
      <c r="DA20" s="226">
        <f t="shared" si="21"/>
        <v>0</v>
      </c>
      <c r="DB20" s="226"/>
      <c r="DC20" s="226"/>
      <c r="DD20" s="226"/>
      <c r="DE20" s="226"/>
      <c r="DF20" s="227">
        <v>1234</v>
      </c>
      <c r="DG20" s="227">
        <v>123</v>
      </c>
      <c r="DH20" s="227">
        <v>12</v>
      </c>
      <c r="DI20" s="227">
        <v>234</v>
      </c>
      <c r="DJ20" s="227">
        <v>34</v>
      </c>
      <c r="DK20" s="227">
        <v>23</v>
      </c>
      <c r="DL20" s="227">
        <v>1</v>
      </c>
      <c r="DM20" s="227">
        <v>2</v>
      </c>
      <c r="DN20" s="227">
        <v>3</v>
      </c>
      <c r="DO20" s="227">
        <v>4</v>
      </c>
      <c r="DP20" s="226"/>
      <c r="DQ20" s="226"/>
    </row>
    <row r="21" spans="1:121 8834:8834" ht="15" customHeight="1" thickBot="1">
      <c r="A21" s="251" t="str">
        <f t="array" aca="1" ref="A21" ca="1">IF(ROWS(A$21:A21)&lt;=$C$20,INDEX(INDIRECT(A$20),SMALL(IF(Nivell=$B$20,ROW(Nivell)-ROW(Equipos!$C$2)+1),ROWS(B$20:B20))),"")</f>
        <v>Uruguay</v>
      </c>
      <c r="B21" s="252"/>
      <c r="C21" s="252"/>
      <c r="D21" s="286"/>
      <c r="E21" s="432"/>
      <c r="F21" s="174">
        <v>43633</v>
      </c>
      <c r="G21" s="175">
        <f t="shared" si="20"/>
        <v>43633.833333333336</v>
      </c>
      <c r="H21" s="174" t="s">
        <v>82</v>
      </c>
      <c r="I21" s="176" t="str">
        <f ca="1">A23</f>
        <v>Japón</v>
      </c>
      <c r="J21" s="177"/>
      <c r="K21" s="178">
        <v>0</v>
      </c>
      <c r="L21" s="178">
        <v>4</v>
      </c>
      <c r="M21" s="179"/>
      <c r="N21" s="188" t="str">
        <f ca="1">A24</f>
        <v>Chile</v>
      </c>
      <c r="O21" s="293">
        <f t="shared" ref="O21:O25" si="22">IF(NOT(OR(ISBLANK(K21),ISBLANK(L21))),1,0)</f>
        <v>1</v>
      </c>
      <c r="P21" s="291"/>
      <c r="Q21" s="200" t="s">
        <v>19</v>
      </c>
      <c r="R21" s="201" t="s">
        <v>170</v>
      </c>
      <c r="S21" s="202" t="s">
        <v>89</v>
      </c>
      <c r="T21" s="202" t="s">
        <v>6</v>
      </c>
      <c r="U21" s="202" t="s">
        <v>7</v>
      </c>
      <c r="V21" s="202" t="s">
        <v>3</v>
      </c>
      <c r="W21" s="202" t="s">
        <v>8</v>
      </c>
      <c r="X21" s="202" t="s">
        <v>9</v>
      </c>
      <c r="Y21" s="202" t="s">
        <v>10</v>
      </c>
      <c r="Z21" s="203" t="s">
        <v>167</v>
      </c>
      <c r="AA21" s="341">
        <f ca="1">COUNTIF(AA22:AA25,"&lt;100")</f>
        <v>0</v>
      </c>
      <c r="AB21" s="434"/>
      <c r="AC21" s="434"/>
      <c r="AD21" s="434"/>
      <c r="AE21" s="305"/>
      <c r="AF21" s="225"/>
      <c r="AG21" s="228" t="s">
        <v>52</v>
      </c>
      <c r="AH21" s="228" t="s">
        <v>14</v>
      </c>
      <c r="AI21" s="228" t="s">
        <v>5</v>
      </c>
      <c r="AJ21" s="228" t="s">
        <v>15</v>
      </c>
      <c r="AK21" s="228" t="s">
        <v>6</v>
      </c>
      <c r="AL21" s="228" t="s">
        <v>7</v>
      </c>
      <c r="AM21" s="228" t="s">
        <v>3</v>
      </c>
      <c r="AN21" s="228" t="s">
        <v>8</v>
      </c>
      <c r="AO21" s="228" t="s">
        <v>9</v>
      </c>
      <c r="AP21" s="228" t="s">
        <v>10</v>
      </c>
      <c r="AQ21" s="228" t="s">
        <v>12</v>
      </c>
      <c r="AR21" s="228" t="s">
        <v>16</v>
      </c>
      <c r="AS21" s="228" t="s">
        <v>14</v>
      </c>
      <c r="AT21" s="226"/>
      <c r="AU21" s="226"/>
      <c r="AV21" s="230"/>
      <c r="AW21" s="231"/>
      <c r="AX21" s="226"/>
      <c r="AY21" s="228" t="s">
        <v>5</v>
      </c>
      <c r="AZ21" s="240" t="s">
        <v>31</v>
      </c>
      <c r="BA21" s="235" t="s">
        <v>34</v>
      </c>
      <c r="BB21" s="240" t="s">
        <v>33</v>
      </c>
      <c r="BC21" s="240" t="s">
        <v>28</v>
      </c>
      <c r="BD21" s="235" t="str">
        <f ca="1">AY22</f>
        <v>Uruguay</v>
      </c>
      <c r="BE21" s="235" t="str">
        <f ca="1">AY23</f>
        <v>Ecuador</v>
      </c>
      <c r="BF21" s="235" t="str">
        <f ca="1">AY24</f>
        <v>Japón</v>
      </c>
      <c r="BG21" s="235" t="str">
        <f ca="1">AY25</f>
        <v>Chile</v>
      </c>
      <c r="BH21" s="240" t="s">
        <v>33</v>
      </c>
      <c r="BI21" s="240" t="s">
        <v>28</v>
      </c>
      <c r="BJ21" s="235" t="str">
        <f ca="1">BD21</f>
        <v>Uruguay</v>
      </c>
      <c r="BK21" s="235" t="str">
        <f t="shared" ref="BK21" ca="1" si="23">BE21</f>
        <v>Ecuador</v>
      </c>
      <c r="BL21" s="235" t="str">
        <f t="shared" ref="BL21" ca="1" si="24">BF21</f>
        <v>Japón</v>
      </c>
      <c r="BM21" s="235" t="str">
        <f t="shared" ref="BM21" ca="1" si="25">BG21</f>
        <v>Chile</v>
      </c>
      <c r="BN21" s="227"/>
      <c r="BO21" s="229"/>
      <c r="BP21" s="229" t="s">
        <v>53</v>
      </c>
      <c r="BQ21" s="229"/>
      <c r="BR21" s="229" t="s">
        <v>54</v>
      </c>
      <c r="BS21" s="229"/>
      <c r="BT21" s="227"/>
      <c r="BU21" s="229"/>
      <c r="BV21" s="229" t="s">
        <v>5</v>
      </c>
      <c r="BW21" s="229" t="s">
        <v>15</v>
      </c>
      <c r="BX21" s="229" t="s">
        <v>73</v>
      </c>
      <c r="BY21" s="229" t="s">
        <v>12</v>
      </c>
      <c r="BZ21" s="229" t="s">
        <v>74</v>
      </c>
      <c r="CA21" s="227"/>
      <c r="CB21" s="226"/>
      <c r="CC21" s="226" t="s">
        <v>79</v>
      </c>
      <c r="CD21" s="226" t="s">
        <v>57</v>
      </c>
      <c r="CE21" s="226" t="s">
        <v>66</v>
      </c>
      <c r="CF21" s="226" t="s">
        <v>67</v>
      </c>
      <c r="CG21" s="226" t="s">
        <v>68</v>
      </c>
      <c r="CH21" s="226" t="s">
        <v>69</v>
      </c>
      <c r="CI21" s="226" t="s">
        <v>70</v>
      </c>
      <c r="CJ21" s="226" t="s">
        <v>71</v>
      </c>
      <c r="CK21" s="226" t="s">
        <v>72</v>
      </c>
      <c r="CL21" s="226" t="s">
        <v>67</v>
      </c>
      <c r="CM21" s="226" t="s">
        <v>67</v>
      </c>
      <c r="CN21" s="226" t="s">
        <v>68</v>
      </c>
      <c r="CO21" s="226" t="s">
        <v>71</v>
      </c>
      <c r="CP21" s="226" t="s">
        <v>70</v>
      </c>
      <c r="CQ21" s="226" t="s">
        <v>70</v>
      </c>
      <c r="CR21" s="226" t="s">
        <v>69</v>
      </c>
      <c r="CS21" s="226" t="s">
        <v>66</v>
      </c>
      <c r="CT21" s="226" t="s">
        <v>71</v>
      </c>
      <c r="CU21" s="226" t="s">
        <v>70</v>
      </c>
      <c r="CV21" s="226" t="s">
        <v>68</v>
      </c>
      <c r="CW21" s="226" t="s">
        <v>71</v>
      </c>
      <c r="CX21" s="226" t="s">
        <v>68</v>
      </c>
      <c r="CY21" s="226" t="s">
        <v>70</v>
      </c>
      <c r="CZ21" s="226"/>
      <c r="DA21" s="226"/>
      <c r="DB21" s="226"/>
      <c r="DC21" s="226"/>
      <c r="DD21" s="226"/>
      <c r="DE21" s="226"/>
      <c r="DF21" s="227">
        <v>1</v>
      </c>
      <c r="DG21" s="227">
        <v>1</v>
      </c>
      <c r="DH21" s="227">
        <v>1</v>
      </c>
      <c r="DI21" s="227">
        <v>2</v>
      </c>
      <c r="DJ21" s="227">
        <v>3</v>
      </c>
      <c r="DK21" s="227">
        <v>2</v>
      </c>
      <c r="DL21" s="227">
        <v>1</v>
      </c>
      <c r="DM21" s="227">
        <v>2</v>
      </c>
      <c r="DN21" s="227">
        <v>3</v>
      </c>
      <c r="DO21" s="227">
        <v>4</v>
      </c>
      <c r="DP21" s="226"/>
      <c r="DQ21" s="226"/>
    </row>
    <row r="22" spans="1:121 8834:8834" ht="14.5" customHeight="1">
      <c r="A22" s="251" t="str">
        <f t="array" aca="1" ref="A22" ca="1">IF(ROWS(A$21:A22)&lt;=$C$20,INDEX(INDIRECT(A$20),SMALL(IF(Nivell=$B$20,ROW(Nivell)-ROW(Equipos!$C$2)+1),ROWS(B$20:B21))),"")</f>
        <v>Ecuador</v>
      </c>
      <c r="B22" s="252"/>
      <c r="C22" s="254"/>
      <c r="D22" s="286"/>
      <c r="E22" s="432"/>
      <c r="F22" s="174">
        <v>43636</v>
      </c>
      <c r="G22" s="175">
        <f t="shared" si="20"/>
        <v>43636.833333333336</v>
      </c>
      <c r="H22" s="174" t="s">
        <v>83</v>
      </c>
      <c r="I22" s="176" t="str">
        <f ca="1">A21</f>
        <v>Uruguay</v>
      </c>
      <c r="J22" s="177"/>
      <c r="K22" s="178">
        <v>2</v>
      </c>
      <c r="L22" s="178">
        <v>0</v>
      </c>
      <c r="M22" s="179"/>
      <c r="N22" s="188" t="str">
        <f ca="1">A23</f>
        <v>Japón</v>
      </c>
      <c r="O22" s="293">
        <f t="shared" si="22"/>
        <v>1</v>
      </c>
      <c r="P22" s="291"/>
      <c r="Q22" s="204">
        <v>1</v>
      </c>
      <c r="R22" s="205" t="str">
        <f ca="1">VLOOKUP(Q22,$AG$22:$AI$25,3,0)</f>
        <v>Uruguay</v>
      </c>
      <c r="S22" s="206">
        <f ca="1">VLOOKUP(R22,$AI$22:$AR$25,2,FALSE)</f>
        <v>9</v>
      </c>
      <c r="T22" s="206">
        <f ca="1">VLOOKUP($R22,$AI$22:$AR$25,3,FALSE)</f>
        <v>3</v>
      </c>
      <c r="U22" s="206">
        <f ca="1">VLOOKUP($R22,$AI$22:$AR$25,4,FALSE)</f>
        <v>3</v>
      </c>
      <c r="V22" s="206">
        <f ca="1">VLOOKUP($R22,$AI$22:$AR$25,5,FALSE)</f>
        <v>0</v>
      </c>
      <c r="W22" s="206">
        <f ca="1">VLOOKUP($R22,$AI$22:$AR$25,6,FALSE)</f>
        <v>0</v>
      </c>
      <c r="X22" s="206">
        <f ca="1">VLOOKUP($R22,$AI$22:$AR$25,7,FALSE)</f>
        <v>7</v>
      </c>
      <c r="Y22" s="206">
        <f ca="1">VLOOKUP($R22,$AI$22:$AR$25,8,FALSE)</f>
        <v>0</v>
      </c>
      <c r="Z22" s="207">
        <f ca="1">VLOOKUP($R22,$AI$22:$AR$25,9,FALSE)</f>
        <v>7</v>
      </c>
      <c r="AA22" s="297">
        <f ca="1">IF(SUM($AK$22:$AK$25)=12,MIN(ABS(BS21-BS22),ABS(BS22-BS23)),100)</f>
        <v>3030100000.0299997</v>
      </c>
      <c r="AB22" s="345" t="str">
        <f ca="1">IF(AND(AA22&gt;=0,AA22&lt;90),VLOOKUP(Q22,$BO$22:$BP$25,2,0),"")</f>
        <v/>
      </c>
      <c r="AC22" s="346"/>
      <c r="AD22" s="297"/>
      <c r="AE22" s="297"/>
      <c r="AF22" s="225">
        <f ca="1">VLOOKUP($R22,$AI$22:$AR$25,10,FALSE)</f>
        <v>9070710999.9099998</v>
      </c>
      <c r="AG22" s="226">
        <f ca="1">RANK(AU22,$AU$22:$AU$25)</f>
        <v>1</v>
      </c>
      <c r="AH22" s="226">
        <f ca="1">RANK(AR22,$AR$22:$AR$25)</f>
        <v>1</v>
      </c>
      <c r="AI22" s="227" t="str">
        <f ca="1">A21</f>
        <v>Uruguay</v>
      </c>
      <c r="AJ22" s="226">
        <f ca="1">AL22*3+AM22*1+AN22*0</f>
        <v>9</v>
      </c>
      <c r="AK22" s="226">
        <f ca="1">COUNTIFS($I$20:$I$25,AI22,$K$20:$K$25,"&lt;&gt;",$L$20:$L$25,"&lt;&gt;")+COUNTIFS($N$20:$N$25,AI22,$L$20:$L$25,"&lt;&gt;",$K$20:$K$25,"&lt;&gt;")</f>
        <v>3</v>
      </c>
      <c r="AL22" s="226">
        <f t="array" aca="1" ref="AL22" ca="1">SUM((I$20:I$25=AI22)*(K$20:K$25&lt;&gt;"")*(L$20:L$25&lt;&gt;"")*(K$20:K$25&gt;L$20:L$25),(N$20:N$25=AI22)*(K$20:K$25&lt;&gt;"")*(L$20:L$25&lt;&gt;"")*(K$20:K$25&lt;L$20:L$25))</f>
        <v>3</v>
      </c>
      <c r="AM22" s="226">
        <f t="array" aca="1" ref="AM22" ca="1">SUM((I$20:I$25=AI22)*(K$20:K$25&lt;&gt;"")*(L$20:L$25&lt;&gt;"")*(K$20:K$25=L$20:L$25),(N$20:N$25=AI22)*(K$20:K$25&lt;&gt;"")*(L$20:L$25&lt;&gt;"")*(K$20:K$25=L$20:L$25))</f>
        <v>0</v>
      </c>
      <c r="AN22" s="226">
        <f t="array" aca="1" ref="AN22" ca="1">SUM((I$20:I$25=AI22)*(L$20:L$25&lt;&gt;"")*(K$20:K$25&lt;&gt;"")*(K$20:K$25&lt;L$20:L$25),(K$20:K$25&lt;&gt;"")*(N$20:N$25=AI22)*(L$20:L$25&lt;&gt;"")*(K$20:K$25&gt;L$20:L$25))</f>
        <v>0</v>
      </c>
      <c r="AO22" s="226">
        <f t="array" aca="1" ref="AO22" ca="1">SUMIFS($K$20:$K$25,$I$20:$I$25,AI22,$K$20:$K$25,"&lt;&gt;",$L$20:$L$25,"&lt;&gt;")+SUMIFS($L$20:$L$25,$N$20:$N$25,AI22,$K$20:$K$25,"&lt;&gt;",$L$20:$L$25,"&lt;&gt;")</f>
        <v>7</v>
      </c>
      <c r="AP22" s="226">
        <f t="array" aca="1" ref="AP22" ca="1">SUMIFS($K$20:$K$25,$N$20:$N$25,AI22,$K$20:$K$25,"&lt;&gt;",$L$20:$L$25,"&lt;&gt;")+SUMIFS($L$20:$L$25,$I$20:$I$25,AI22,$K$20:$K$25,"&lt;&gt;",$L$20:$L$25,"&lt;&gt;")</f>
        <v>0</v>
      </c>
      <c r="AQ22" s="226">
        <f ca="1">AO22-AP22</f>
        <v>7</v>
      </c>
      <c r="AR22" s="226">
        <f ca="1">IF(AK22=0,-($AW$9*VLOOKUP(AI22,Tabla3[[NombreEquipo]:[Rank]],3,FALSE)),AJ22*$AW$4+AQ22*$AW$5+AO22*$AW$6+BA22-($AW$9*VLOOKUP(AI22,Tabla3[[NombreEquipo]:[Rank]],3,FALSE)/100))</f>
        <v>9070710999.9099998</v>
      </c>
      <c r="AS22" s="226">
        <f ca="1">AH22</f>
        <v>1</v>
      </c>
      <c r="AT22" s="226"/>
      <c r="AU22" s="226">
        <f ca="1">IFERROR(AR22-VLOOKUP(AI22,$AB$22:$AC$25,2,0),AR22)</f>
        <v>9070710999.9099998</v>
      </c>
      <c r="AV22" s="230"/>
      <c r="AW22" s="231"/>
      <c r="AX22" s="226"/>
      <c r="AY22" s="232" t="str">
        <f ca="1">AI22</f>
        <v>Uruguay</v>
      </c>
      <c r="AZ22" s="226">
        <f ca="1">COUNTIF(AJ22:AJ25,AJ22)</f>
        <v>1</v>
      </c>
      <c r="BA22" s="226">
        <f ca="1">(BB22*$AW$8)+(BH22*$AW$7)</f>
        <v>11000</v>
      </c>
      <c r="BB22" s="233">
        <f ca="1">RANK(BC22,BC22:BC25,1)</f>
        <v>1</v>
      </c>
      <c r="BC22" s="233">
        <f ca="1">SUM(IF(AND(AJ22=AJ23,AQ22=AQ23,AO22=AO23),BE22,0),IF(AND(AJ22=AJ24,AQ22=AQ24,AO22=AO24),BF22,0),IF(AND(AJ22=AJ25,AQ22=AQ25,AO22=AO25),BG22,0))</f>
        <v>0</v>
      </c>
      <c r="BD22" s="233">
        <v>0</v>
      </c>
      <c r="BE22" s="233">
        <f t="array" aca="1" ref="BE22" ca="1">SUMIFS($K$20:$K$25,$I$20:$I$25,$AY22,$K$20:$K$25,"&lt;&gt;",$L$20:$L$25,"&lt;&gt;",$N$20:$N$25,BE21)+SUMIFS($L$20:$L$25,$I$20:$I$25,BE21,$K$20:$K$25,"&lt;&gt;",$L$20:$L$25,"&lt;&gt;",$N$20:$N$25,$AY22)</f>
        <v>4</v>
      </c>
      <c r="BF22" s="233">
        <f t="array" aca="1" ref="BF22" ca="1">SUMIFS($K$20:$K$25,$I$20:$I$25,$AY22,$K$20:$K$25,"&lt;&gt;",$L$20:$L$25,"&lt;&gt;",$N$20:$N$25,BF21)+SUMIFS($L$20:$L$25,$I$20:$I$25,BF21,$K$20:$K$25,"&lt;&gt;",$L$20:$L$25,"&lt;&gt;",$N$20:$N$25,$AY22)</f>
        <v>2</v>
      </c>
      <c r="BG22" s="233">
        <f t="array" aca="1" ref="BG22" ca="1">SUMIFS($K$20:$K$25,$I$20:$I$25,$AY22,$K$20:$K$25,"&lt;&gt;",$L$20:$L$25,"&lt;&gt;",$N$20:$N$25,BG21)+SUMIFS($L$20:$L$25,$I$20:$I$25,BG21,$K$20:$K$25,"&lt;&gt;",$L$20:$L$25,"&lt;&gt;",$N$20:$N$25,$AY22)</f>
        <v>1</v>
      </c>
      <c r="BH22" s="233">
        <f ca="1">RANK(BI22,BI22:BI25,1)</f>
        <v>1</v>
      </c>
      <c r="BI22" s="233">
        <f ca="1">SUM(IF(AND(AJ22=AJ23,AQ22=AQ23,AO22=AO23),BK22,0),IF(AND(AJ22=AJ24,AQ22=AQ24,AO22=AO24),BL22,0),IF(AND(AJ22=AJ25,AQ22=AQ25,AO22=AO25),BM22,0))</f>
        <v>0</v>
      </c>
      <c r="BJ22" s="233">
        <v>0</v>
      </c>
      <c r="BK22" s="233">
        <f ca="1">BE22-BD23</f>
        <v>4</v>
      </c>
      <c r="BL22" s="233">
        <f ca="1">BF22-BD24</f>
        <v>2</v>
      </c>
      <c r="BM22" s="233">
        <f ca="1">BG22-BD25</f>
        <v>1</v>
      </c>
      <c r="BN22" s="227">
        <v>1</v>
      </c>
      <c r="BO22" s="227">
        <f ca="1">RANK(BQ22,$BQ$22:$BQ$25)</f>
        <v>1</v>
      </c>
      <c r="BP22" s="227" t="str">
        <f ca="1">A21</f>
        <v>Uruguay</v>
      </c>
      <c r="BQ22" s="227">
        <f ca="1">IF(AK22=0,-($AW$9*VLOOKUP(AI22,Tabla3[[NombreEquipo]:[Rank]],3,FALSE)),AJ22*$AW$4+AQ22*$AW$5+AO22*$AW$6+BA22-($AW$9*VLOOKUP(AI22,Tabla3[[NombreEquipo]:[Rank]],3,FALSE)/100))</f>
        <v>9070710999.9099998</v>
      </c>
      <c r="BR22" s="227" t="str">
        <f ca="1">VLOOKUP(Q22,$AH$22:$AI$25,2,0)</f>
        <v>Uruguay</v>
      </c>
      <c r="BS22" s="227">
        <f ca="1">VLOOKUP($BR22,$AI$22:$AR$25,10,FALSE)</f>
        <v>9070710999.9099998</v>
      </c>
      <c r="BT22" s="227"/>
      <c r="BU22" s="227">
        <v>1</v>
      </c>
      <c r="BV22" s="227" t="str">
        <f ca="1">VLOOKUP(BU22,$AH$22:$AI$25,2,0)</f>
        <v>Uruguay</v>
      </c>
      <c r="BW22" s="227">
        <f ca="1">VLOOKUP(BV22,$AI$22:$AR$25,2,FALSE)</f>
        <v>9</v>
      </c>
      <c r="BX22" s="234">
        <f ca="1">IF(SUM($AK$22:$AK$25)=12,MIN(ABS(BS21-BS22),ABS(BS22-BS23)),100)</f>
        <v>3030100000.0299997</v>
      </c>
      <c r="BY22" s="227">
        <f ca="1">VLOOKUP($BV22,$AI$22:$AR$25,9,FALSE)</f>
        <v>7</v>
      </c>
      <c r="BZ22" s="227">
        <f ca="1">VLOOKUP($BV22,$AI$22:$AR$25,7,FALSE)</f>
        <v>7</v>
      </c>
      <c r="CA22" s="227">
        <f t="array" aca="1" ref="CA22" ca="1">IF($CB$22=$CD$21,$DF$21:$DF$24,IF($CB$22=$CE$21,$DG$21:$DG$23,IF(OR($CB$22=$CF$21,$CB$22=$CG$21),$DH$21:$DH$22,$DL$21)))</f>
        <v>1</v>
      </c>
      <c r="CB22" s="226" t="str">
        <f ca="1">IFERROR(HLOOKUP(4,CD20:DA21,2,0),CK21)</f>
        <v>COM_8</v>
      </c>
      <c r="CC22" s="226">
        <v>1</v>
      </c>
      <c r="CD22" s="226">
        <f t="array" aca="1" ref="CD22" ca="1">IF(AND($BW$22:$BW$25=$BW$22,$BX$22:$BX$25&lt;90,$AQ$22:$AQ$25=$AQ$22,$BZ$22:$BZ$25=$BZ$22),1,0)</f>
        <v>0</v>
      </c>
      <c r="CE22" s="226">
        <f t="array" aca="1" ref="CE22" ca="1">IF(AND($BW$22:$BW$24=$BW$22,$BX$22:$BX$24&lt;90,$BW$22&lt;&gt;$BW$25),1,0)</f>
        <v>0</v>
      </c>
      <c r="CF22" s="226">
        <f t="array" aca="1" ref="CF22" ca="1">IF(AND($BW$22:$BW$23=$BW$22,$BX$22:$BX$23&lt;90,$BW$22&lt;&gt;$BW$24),1,0)</f>
        <v>0</v>
      </c>
      <c r="CG22" s="226">
        <f t="array" aca="1" ref="CG22" ca="1">IF(AND($BW$22:$BW$23=$BW$22,$BX$22:$BX$23&lt;90,$BW$22&lt;&gt;$BW$24),1,0)</f>
        <v>0</v>
      </c>
      <c r="CH22" s="226">
        <f t="array" aca="1" ref="CH22" ca="1">IF(AND($BW$23:$BW$25=$BW$23,$BX$23:$BX$25&lt;90,$BW$22&lt;&gt;$BW$23),1,0)</f>
        <v>0</v>
      </c>
      <c r="CI22" s="226">
        <f t="array" aca="1" ref="CI22" ca="1">IF(AND($BW$22&lt;&gt;$BW$23,$BW$22&lt;&gt;$BW$25),1,0)</f>
        <v>1</v>
      </c>
      <c r="CJ22" s="226">
        <f t="array" aca="1" ref="CJ22" ca="1">IF(AND($BW$22&lt;&gt;$BW$23,$BW$22&lt;&gt;$BW$25),1,0)</f>
        <v>1</v>
      </c>
      <c r="CK22" s="226">
        <f t="array" aca="1" ref="CK22" ca="1">IF(AND($BW$22&lt;&gt;$BW$23,$BW$22&lt;&gt;$BW$25),1,0)</f>
        <v>1</v>
      </c>
      <c r="CL22" s="226">
        <f t="array" aca="1" ref="CL22" ca="1">IF(AND($BW$22:$BW$25=$BW$22,$BX$22:$BX$25&lt;90,$BY$22:$BY$23=$BY$22,$BY$22&lt;&gt;$BY$24),1,0)</f>
        <v>0</v>
      </c>
      <c r="CM22" s="226">
        <f t="array" aca="1" ref="CM22" ca="1">IF(AND($BW$22:$BW$25=$BW$22,$BX$22:$BX$25&lt;90,$BY$22:$BY$25=$BY$22,$BZ$22=$BZ$23,$BZ$22&lt;&gt;$BZ$24),1,0)</f>
        <v>0</v>
      </c>
      <c r="CN22" s="226">
        <f t="array" aca="1" ref="CN22" ca="1">IF(AND($BW$22:$BW$24=$BW$22,$BX$22:$BX$23&lt;90,$BX$24&gt;90),1,0)</f>
        <v>0</v>
      </c>
      <c r="CO22" s="226">
        <f t="array" aca="1" ref="CO22" ca="1">IF(AND($BW$22&lt;&gt;$BW$23,$BW$22&lt;&gt;$BW$24),1,0)</f>
        <v>1</v>
      </c>
      <c r="CP22" s="226">
        <f t="array" aca="1" ref="CP22" ca="1">IF(AND($BW$22&lt;&gt;$BW$23,$BW$22&lt;&gt;$BW$24),1,0)</f>
        <v>1</v>
      </c>
      <c r="CQ22" s="226">
        <f t="array" aca="1" ref="CQ22" ca="1">IF(AND($BW$22&lt;&gt;$BW$25,$BW$22:$BW$24=$BW$22,$BX$22&gt;90,$BX$23:$BX$24&lt;90),1,0)</f>
        <v>0</v>
      </c>
      <c r="CR22" s="226">
        <f t="array" aca="1" ref="CR22" ca="1">IF(AND($BW$22:$BW$25=$BW$22,$BX$23:$BX$25&lt;90,$BX$22&lt;&gt;$BX$23),1,0)</f>
        <v>0</v>
      </c>
      <c r="CS22" s="226">
        <f t="array" aca="1" ref="CS22" ca="1">IF(AND($BW$22:$BW$25=$BW$22,$BX$22:$BX$24&lt;90,$BX$22&lt;&gt;$BX$25),1,0)</f>
        <v>0</v>
      </c>
      <c r="CT22" s="226">
        <f t="array" aca="1" ref="CT22" ca="1">IF(AND($BW$22:$BW$25=$BW$22,$BX$22:$BX$23&gt;90,$BX$24:$BX$25&lt;90,$BY$22:$BY$25=$BY$22,$BZ$22&gt;$BZ$23,$BZ$22&gt;$BZ$24,$BZ$22&gt;$BZ$25),1,0)</f>
        <v>0</v>
      </c>
      <c r="CU22" s="226">
        <f t="array" aca="1" ref="CU22" ca="1">IF(AND($BW$22:$BW$25=$BW$22,$BX$22&gt;90,$BX$23:$BX$24&lt;90,$BX$25&gt;90,$BY$22:$BY$25=$BY$22,$BZ$22&gt;$BZ$23,$BZ$22&gt;$BZ$24,$BZ$22&gt;$BZ$25),1,0)</f>
        <v>0</v>
      </c>
      <c r="CV22" s="226">
        <f t="array" aca="1" ref="CV22" ca="1">IF(AND($BW$22:$BW$25=$BW$22,$BX$22:$BX$23&lt;90,$BX$24:$BX$25&gt;90,$BY$22:$BY$25=$BY$22,$BZ$22=$BZ$23,$BZ$22&gt;$BZ$24,$BZ$22&gt;$BZ$25),1,0)</f>
        <v>0</v>
      </c>
      <c r="CW22" s="226">
        <f t="array" aca="1" ref="CW22" ca="1">IF(AND($BW$22:$BW$25=$BW$22,$BX$22:$BX$23&gt;90,$BX$24:$BX$25&lt;90,$BY$22:$BY$25=$BY$22,$BZ$22&gt;$BZ$23,$BZ$23:$BZ$25=$BZ$23),1,0)</f>
        <v>0</v>
      </c>
      <c r="CX22" s="226">
        <f t="array" aca="1" ref="CX22" ca="1">IF(AND($BW$22:$BW$25=$BW$22,$BX$22:$BX$23&lt;90,$BX$24:$BX$25&gt;90,$BY$22:$BY$25=$BY$22,$BZ$22:$BZ$24=$BZ$22,$BZ$22&gt;$BZ$25),1,0)</f>
        <v>0</v>
      </c>
      <c r="CY22" s="226">
        <f t="array" aca="1" ref="CY22" ca="1">IF(AND($BW$22:$BW$25=$BW$22,$BX$22&gt;90,$BX$25&gt;90,$BX$23:$BX$24&lt;90,$BY$22:$BY$25=$BY$22,$BZ$22&gt;$BZ$23:$BZ$25),1,0)</f>
        <v>0</v>
      </c>
      <c r="CZ22" s="226"/>
      <c r="DA22" s="226"/>
      <c r="DB22" s="226"/>
      <c r="DC22" s="226"/>
      <c r="DD22" s="226"/>
      <c r="DE22" s="226"/>
      <c r="DF22" s="227">
        <v>2</v>
      </c>
      <c r="DG22" s="227">
        <v>2</v>
      </c>
      <c r="DH22" s="227">
        <v>2</v>
      </c>
      <c r="DI22" s="227">
        <v>3</v>
      </c>
      <c r="DJ22" s="227">
        <v>4</v>
      </c>
      <c r="DK22" s="227">
        <v>3</v>
      </c>
      <c r="DL22" s="227"/>
      <c r="DM22" s="227"/>
      <c r="DN22" s="227"/>
      <c r="DO22" s="227"/>
      <c r="DP22" s="226"/>
      <c r="DQ22" s="226"/>
    </row>
    <row r="23" spans="1:121 8834:8834" ht="14.5" customHeight="1">
      <c r="A23" s="251" t="str">
        <f t="array" aca="1" ref="A23" ca="1">IF(ROWS(A$21:A23)&lt;=$C$20,INDEX(INDIRECT(A$20),SMALL(IF(Nivell=$B$20,ROW(Nivell)-ROW(Equipos!$C$2)+1),ROWS(B$20:B22))),"")</f>
        <v>Japón</v>
      </c>
      <c r="B23" s="252"/>
      <c r="C23" s="253"/>
      <c r="D23" s="286"/>
      <c r="E23" s="432"/>
      <c r="F23" s="174">
        <v>43637</v>
      </c>
      <c r="G23" s="175">
        <f t="shared" si="20"/>
        <v>43637.833333333336</v>
      </c>
      <c r="H23" s="174" t="s">
        <v>83</v>
      </c>
      <c r="I23" s="176" t="str">
        <f ca="1">A22</f>
        <v>Ecuador</v>
      </c>
      <c r="J23" s="177"/>
      <c r="K23" s="178">
        <v>1</v>
      </c>
      <c r="L23" s="178">
        <v>2</v>
      </c>
      <c r="M23" s="180"/>
      <c r="N23" s="188" t="str">
        <f ca="1">A24</f>
        <v>Chile</v>
      </c>
      <c r="O23" s="293">
        <f t="shared" si="22"/>
        <v>1</v>
      </c>
      <c r="P23" s="291"/>
      <c r="Q23" s="208">
        <v>2</v>
      </c>
      <c r="R23" s="9" t="str">
        <f ca="1">VLOOKUP(Q23,$AG$22:$AI$25,3,0)</f>
        <v>Chile</v>
      </c>
      <c r="S23" s="8">
        <f ca="1">VLOOKUP(R23,$AI$22:$AR$25,2,FALSE)</f>
        <v>6</v>
      </c>
      <c r="T23" s="8">
        <f ca="1">VLOOKUP($R23,$AI$22:$AR$25,3,FALSE)</f>
        <v>3</v>
      </c>
      <c r="U23" s="8">
        <f ca="1">VLOOKUP($R23,$AI$22:$AR$25,4,FALSE)</f>
        <v>2</v>
      </c>
      <c r="V23" s="8">
        <f ca="1">VLOOKUP($R23,$AI$22:$AR$25,5,FALSE)</f>
        <v>0</v>
      </c>
      <c r="W23" s="8">
        <f ca="1">VLOOKUP($R23,$AI$22:$AR$25,6,FALSE)</f>
        <v>1</v>
      </c>
      <c r="X23" s="8">
        <f ca="1">VLOOKUP($R23,$AI$22:$AR$25,7,FALSE)</f>
        <v>6</v>
      </c>
      <c r="Y23" s="8">
        <f ca="1">VLOOKUP($R23,$AI$22:$AR$25,8,FALSE)</f>
        <v>2</v>
      </c>
      <c r="Z23" s="209">
        <f ca="1">VLOOKUP($R23,$AI$22:$AR$25,9,FALSE)</f>
        <v>4</v>
      </c>
      <c r="AA23" s="297">
        <f ca="1">IF(SUM($AK$22:$AK$25)=12,MIN(ABS(BS22-BS23),ABS(BS23-BS24)),100)</f>
        <v>3030100000.0299997</v>
      </c>
      <c r="AB23" s="345" t="str">
        <f ca="1">IF(AND(AA23&gt;=0,AA23&lt;90),VLOOKUP(Q23,$BO$22:$BP$25,2,0),"")</f>
        <v/>
      </c>
      <c r="AC23" s="350"/>
      <c r="AD23" s="351"/>
      <c r="AE23" s="351"/>
      <c r="AF23" s="225">
        <f ca="1">VLOOKUP($R23,$AI$22:$AR$25,10,FALSE)</f>
        <v>6040610999.8800001</v>
      </c>
      <c r="AG23" s="226">
        <f ca="1">RANK(AU23,$AU$22:$AU$25)</f>
        <v>3</v>
      </c>
      <c r="AH23" s="226">
        <f ca="1">RANK(AR23,$AR$22:$AR$25)</f>
        <v>3</v>
      </c>
      <c r="AI23" s="227" t="str">
        <f ca="1">A22</f>
        <v>Ecuador</v>
      </c>
      <c r="AJ23" s="226">
        <f ca="1">AL23*3+AM23*1+AN23*0</f>
        <v>1</v>
      </c>
      <c r="AK23" s="226">
        <f ca="1">COUNTIFS($I$20:$I$25,AI23,$K$20:$K$25,"&lt;&gt;",$L$20:$L$25,"&lt;&gt;")+COUNTIFS($N$20:$N$25,AI23,$L$20:$L$25,"&lt;&gt;",$K$20:$K$25,"&lt;&gt;")</f>
        <v>3</v>
      </c>
      <c r="AL23" s="226">
        <f t="array" aca="1" ref="AL23" ca="1">SUM((I$20:I$25=AI23)*(K$20:K$25&lt;&gt;"")*(L$20:L$25&lt;&gt;"")*(K$20:K$25&gt;L$20:L$25),(N$20:N$25=AI23)*(K$20:K$25&lt;&gt;"")*(L$20:L$25&lt;&gt;"")*(K$20:K$25&lt;L$20:L$25))</f>
        <v>0</v>
      </c>
      <c r="AM23" s="226">
        <f t="array" aca="1" ref="AM23" ca="1">SUM((I$20:I$25=AI23)*(K$20:K$25&lt;&gt;"")*(L$20:L$25&lt;&gt;"")*(K$20:K$25=L$20:L$25),(N$20:N$25=AI23)*(K$20:K$25&lt;&gt;"")*(L$20:L$25&lt;&gt;"")*(K$20:K$25=L$20:L$25))</f>
        <v>1</v>
      </c>
      <c r="AN23" s="226">
        <f t="array" aca="1" ref="AN23" ca="1">SUM((I$20:I$25=AI23)*(L$20:L$25&lt;&gt;"")*(K$20:K$25&lt;&gt;"")*(K$20:K$25&lt;L$20:L$25),(K$20:K$25&lt;&gt;"")*(N$20:N$25=AI23)*(L$20:L$25&lt;&gt;"")*(K$20:K$25&gt;L$20:L$25))</f>
        <v>2</v>
      </c>
      <c r="AO23" s="226">
        <f t="array" aca="1" ref="AO23" ca="1">SUMIFS($K$20:$K$25,$I$20:$I$25,AI23,$K$20:$K$25,"&lt;&gt;",$L$20:$L$25,"&lt;&gt;")+SUMIFS($L$20:$L$25,$N$20:$N$25,AI23,$K$20:$K$25,"&lt;&gt;",$L$20:$L$25,"&lt;&gt;")</f>
        <v>2</v>
      </c>
      <c r="AP23" s="226">
        <f t="array" aca="1" ref="AP23" ca="1">SUMIFS($K$20:$K$25,$N$20:$N$25,AI23,$K$20:$K$25,"&lt;&gt;",$L$20:$L$25,"&lt;&gt;")+SUMIFS($L$20:$L$25,$I$20:$I$25,AI23,$K$20:$K$25,"&lt;&gt;",$L$20:$L$25,"&lt;&gt;")</f>
        <v>7</v>
      </c>
      <c r="AQ23" s="226">
        <f ca="1">AO23-AP23</f>
        <v>-5</v>
      </c>
      <c r="AR23" s="226">
        <f ca="1">IF(AK23=0,-($AW$9*VLOOKUP(AI23,Tabla3[[NombreEquipo]:[Rank]],3,FALSE)),AJ23*$AW$4+AQ23*$AW$5+AO23*$AW$6+BA23-($AW$9*VLOOKUP(AI23,Tabla3[[NombreEquipo]:[Rank]],3,FALSE)/100))</f>
        <v>950210999.89999998</v>
      </c>
      <c r="AS23" s="226">
        <f ca="1">AH23</f>
        <v>3</v>
      </c>
      <c r="AT23" s="226"/>
      <c r="AU23" s="226">
        <f ca="1">IFERROR(AR23-VLOOKUP(AI23,$AB$22:$AC$25,2,0),AR23)</f>
        <v>950210999.89999998</v>
      </c>
      <c r="AV23" s="230"/>
      <c r="AW23" s="231"/>
      <c r="AX23" s="226"/>
      <c r="AY23" s="232" t="str">
        <f ca="1">AI23</f>
        <v>Ecuador</v>
      </c>
      <c r="AZ23" s="226">
        <f ca="1">COUNTIF(AJ22:AJ25,AJ23)</f>
        <v>2</v>
      </c>
      <c r="BA23" s="226">
        <f ca="1">(BB23*$AW$8)+(BH23*$AW$7)</f>
        <v>11000</v>
      </c>
      <c r="BB23" s="233">
        <f ca="1">RANK(BC23,BC22:BC25,1)</f>
        <v>1</v>
      </c>
      <c r="BC23" s="233">
        <f ca="1">SUM(IF(AND(AJ23=AJ24,AQ23=AQ24,AO23=AO24),BF23,0),IF(AND(AJ23=AJ25,AQ23=AQ25,AO23=AO25),BG23,0),IF(AND(AJ23=AJ22,AQ23=AQ22,AO23=AO22),BD23,0))</f>
        <v>0</v>
      </c>
      <c r="BD23" s="233">
        <f t="array" aca="1" ref="BD23" ca="1">SUMIFS($K$20:$K$25,$I$20:$I$25,$AY23,$K$20:$K$25,"&lt;&gt;",$L$20:$L$25,"&lt;&gt;",$N$20:$N$25,BD21)+SUMIFS($L$20:$L$25,$I$20:$I$25,BD21,$K$20:$K$25,"&lt;&gt;",$L$20:$L$25,"&lt;&gt;",$N$20:$N$25,$AY23)</f>
        <v>0</v>
      </c>
      <c r="BE23" s="233">
        <v>0</v>
      </c>
      <c r="BF23" s="233">
        <f t="array" aca="1" ref="BF23" ca="1">SUMIFS($K$20:$K$25,$I$20:$I$25,$AY23,$K$20:$K$25,"&lt;&gt;",$L$20:$L$25,"&lt;&gt;",$N$20:$N$25,BF21)+SUMIFS($L$20:$L$25,$I$20:$I$25,BF21,$K$20:$K$25,"&lt;&gt;",$L$20:$L$25,"&lt;&gt;",$N$20:$N$25,$AY23)</f>
        <v>1</v>
      </c>
      <c r="BG23" s="233">
        <f t="array" aca="1" ref="BG23" ca="1">SUMIFS($K$20:$K$25,$I$20:$I$25,$AY23,$K$20:$K$25,"&lt;&gt;",$L$20:$L$25,"&lt;&gt;",$N$20:$N$25,BG21)+SUMIFS($L$20:$L$25,$I$20:$I$25,BG21,$K$20:$K$25,"&lt;&gt;",$L$20:$L$25,"&lt;&gt;",$N$20:$N$25,$AY23)</f>
        <v>1</v>
      </c>
      <c r="BH23" s="233">
        <f ca="1">RANK(BI23,BI22:BI25,1)</f>
        <v>1</v>
      </c>
      <c r="BI23" s="233">
        <f ca="1">SUM(IF(AND(AJ23=AJ24,AQ23=AQ24,AO23=AO24),BL23,0),IF(AND(AJ23=AJ25,AQ23=AQ25,AO23=AO25),BM23,0),IF(AND(AJ23=AJ22,AQ23=AQ22,AO23=AO22),BJ23,0))</f>
        <v>0</v>
      </c>
      <c r="BJ23" s="233">
        <f ca="1">BD23-BE22</f>
        <v>-4</v>
      </c>
      <c r="BK23" s="233">
        <v>0</v>
      </c>
      <c r="BL23" s="233">
        <f ca="1">BF23-BE24</f>
        <v>0</v>
      </c>
      <c r="BM23" s="233">
        <f ca="1">BG23-BE25</f>
        <v>-1</v>
      </c>
      <c r="BN23" s="227">
        <v>2</v>
      </c>
      <c r="BO23" s="227">
        <f ca="1">RANK(BQ23,$BQ$22:$BQ$25)</f>
        <v>3</v>
      </c>
      <c r="BP23" s="227" t="str">
        <f ca="1">A22</f>
        <v>Ecuador</v>
      </c>
      <c r="BQ23" s="227">
        <f ca="1">IF(AK23=0,-($AW$9*VLOOKUP(AI23,Tabla3[[NombreEquipo]:[Rank]],3,FALSE)),AJ23*$AW$4+AQ23*$AW$5+AO23*$AW$6+BA23-($AW$9*VLOOKUP(AI23,Tabla3[[NombreEquipo]:[Rank]],3,FALSE)/100))</f>
        <v>950210999.89999998</v>
      </c>
      <c r="BR23" s="227" t="str">
        <f ca="1">VLOOKUP(Q23,$AH$22:$AI$25,2,0)</f>
        <v>Chile</v>
      </c>
      <c r="BS23" s="227">
        <f ca="1">VLOOKUP($BR23,$AI$22:$AR$25,10,FALSE)</f>
        <v>6040610999.8800001</v>
      </c>
      <c r="BT23" s="227"/>
      <c r="BU23" s="227">
        <v>2</v>
      </c>
      <c r="BV23" s="227" t="str">
        <f ca="1">VLOOKUP(BU23,$AH$22:$AI$25,2,0)</f>
        <v>Chile</v>
      </c>
      <c r="BW23" s="227">
        <f ca="1">VLOOKUP(BV23,$AI$22:$AR$25,2,FALSE)</f>
        <v>6</v>
      </c>
      <c r="BX23" s="234">
        <f ca="1">IF(SUM($AK$22:$AK$25)=12,MIN(ABS(BS22-BS23),ABS(BS23-BS24)),100)</f>
        <v>3030100000.0299997</v>
      </c>
      <c r="BY23" s="227">
        <f ca="1">VLOOKUP($BV23,$AI$22:$AR$25,9,FALSE)</f>
        <v>4</v>
      </c>
      <c r="BZ23" s="227">
        <f ca="1">VLOOKUP($BV23,$AI$22:$AR$25,7,FALSE)</f>
        <v>6</v>
      </c>
      <c r="CA23" s="227">
        <f t="array" aca="1" ref="CA23" ca="1">IF($CB$22=$CD$21,$DF$21:$DF$24,IF($CB$22=$CE$21,$DG$21:$DG$23,IF(OR($CB$22=$CF$21,$CB$22=$CG$21),$DH$21:$DH$22,IF($CB$22=$CH$21,$DI$21:$DI$23,(IF($CB$22=$CI$21,$DK$21:$DK$22,$DM$21))))))</f>
        <v>2</v>
      </c>
      <c r="CB23" s="226"/>
      <c r="CC23" s="226">
        <v>2</v>
      </c>
      <c r="CD23" s="226">
        <f t="array" aca="1" ref="CD23" ca="1">IF(AND($BW$22:$BW$25=$BW$23,$BX$22:$BX$25&lt;90,$AQ$22:$AQ$25=$AQ$23,$BZ$22:$BZ$25=$BZ$23),1,0)</f>
        <v>0</v>
      </c>
      <c r="CE23" s="226">
        <f t="array" aca="1" ref="CE23" ca="1">IF(AND($BW$22:$BW$24=$BW$23,$BX$22:$BX$24&lt;90,$BW$23&lt;&gt;$BW$25),1,0)</f>
        <v>0</v>
      </c>
      <c r="CF23" s="226">
        <f t="array" aca="1" ref="CF23" ca="1">IF(AND($BW$22:$BW$23=$BW$22,$BX$22:$BX$23&lt;90,$BW$22&lt;&gt;$BW$24),1,0)</f>
        <v>0</v>
      </c>
      <c r="CG23" s="226">
        <f t="array" aca="1" ref="CG23" ca="1">IF(AND($BW$22:$BW$23=$BW$22,$BX$22:$BX$23&lt;90,$BW$22&lt;&gt;$BW$24),1,0)</f>
        <v>0</v>
      </c>
      <c r="CH23" s="226">
        <f t="array" aca="1" ref="CH23" ca="1">IF(AND($BW$23:$BW$25=$BW$23,$BX$23:$BX$25&lt;90,$BW$22&lt;&gt;$BW$23),1,0)</f>
        <v>0</v>
      </c>
      <c r="CI23" s="226">
        <f t="array" aca="1" ref="CI23" ca="1">IF(AND($BW$23:$BW$24=$BW$23,$BX$23:$BX$24&lt;90,$BW$23&lt;&gt;$BW$22,$BW$23&lt;&gt;$BW$25),1,0)</f>
        <v>0</v>
      </c>
      <c r="CJ23" s="226">
        <f t="array" aca="1" ref="CJ23" ca="1">IF(AND($BW$23&lt;&gt;$BW$22,$BW$23&lt;&gt;$BW$24),1,0)</f>
        <v>1</v>
      </c>
      <c r="CK23" s="226">
        <f t="array" aca="1" ref="CK23" ca="1">IF(AND($BW$23&lt;&gt;$BW$22,$BW$23&lt;&gt;$BW$24),1,0)</f>
        <v>1</v>
      </c>
      <c r="CL23" s="226">
        <f t="array" aca="1" ref="CL23" ca="1">IF(AND($BW$22:$BW$25=$BW$22,$BX$22:$BX$25&lt;90,$BY$22:$BY$23=$BY$22,$BY$23&lt;&gt;$BY$24),1,0)</f>
        <v>0</v>
      </c>
      <c r="CM23" s="226">
        <f t="array" aca="1" ref="CM23" ca="1">IF(AND($BW$22:$BW$25=$BW$22,$BX$22:$BX$25&lt;90,$BY$22:$BY$25=$BY$22,$BZ$22=$BZ$23,$BZ$23&lt;&gt;$BZ$24),1,0)</f>
        <v>0</v>
      </c>
      <c r="CN23" s="226">
        <f t="array" aca="1" ref="CN23" ca="1">IF(AND($BW$22:$BW$24=$BW$23,$BX$22:$BX$23&lt;90,$BX$24&gt;90),1,0)</f>
        <v>0</v>
      </c>
      <c r="CO23" s="226">
        <f t="array" aca="1" ref="CO23" ca="1">IF(AND($BW$23&lt;&gt;$BW$22,$BW$23:$BW$25=$BW$23,$BX$23&gt;90,$BX$24:$BX$25&lt;90),1,0)</f>
        <v>0</v>
      </c>
      <c r="CP23" s="226">
        <f t="array" aca="1" ref="CP23" ca="1">IF(AND($BW$23&lt;&gt;$BW$22,$BW$23:$BW$25=$BW$23,$BX$25&gt;90,$BX$23:$BX$24&lt;90),1,0)</f>
        <v>0</v>
      </c>
      <c r="CQ23" s="226">
        <f t="array" aca="1" ref="CQ23" ca="1">IF(AND($BW$23&lt;&gt;$BW$25,$BW$22:$BW$24=$BW$23,$BX$22&gt;90,$BX$23:$BX$24&lt;90),1,0)</f>
        <v>0</v>
      </c>
      <c r="CR23" s="226">
        <f t="array" aca="1" ref="CR23" ca="1">IF(AND($BW$22:$BW$25=$BW$23,$BX$23:$BX$25&lt;90,$BX$22&lt;&gt;$BX$23),1,0)</f>
        <v>0</v>
      </c>
      <c r="CS23" s="226">
        <f t="array" aca="1" ref="CS23" ca="1">IF(AND($BW$22:$BW$25=$BW$23,$BX$22:$BX$24&lt;90,$BX$23&lt;&gt;$BX$25),1,0)</f>
        <v>0</v>
      </c>
      <c r="CT23" s="226">
        <f t="array" aca="1" ref="CT23" ca="1">IF(AND($BW$22:$BW$25=$BW$23,$BX$22:$BX$23&gt;90,$BX$24:$BX$25&lt;90,$BY$22:$BY$25=$BY$23,$BZ$22&gt;$BZ$23,$BZ$23&gt;$BZ$24,$BZ$23&gt;$BZ$25),1,0)</f>
        <v>0</v>
      </c>
      <c r="CU23" s="226">
        <f t="array" aca="1" ref="CU23" ca="1">IF(AND($BW$22:$BW$25=$BW$23,$BX$22&gt;90,$BX$23:$BX$24&lt;90,$BX$25&gt;90,$BY$22:$BY$25=$BY$23,$BZ$22&gt;$BZ$23,$BZ$23=$BZ$24,$BZ$23&gt;$BZ$25),1,0)</f>
        <v>0</v>
      </c>
      <c r="CV23" s="226">
        <f t="array" aca="1" ref="CV23" ca="1">IF(AND($BW$22:$BW$25=$BW$23,$BX$22:$BX$23&lt;90,$BX$24:$BX$25&gt;90,$BY$22:$BY$25=$BY$23,$BZ$22=$BZ$23,$BZ$23&gt;$BZ$24,$BZ$23&gt;$BZ$25),1,0)</f>
        <v>0</v>
      </c>
      <c r="CW23" s="226">
        <f t="array" aca="1" ref="CW23" ca="1">IF(AND($BW$22:$BW$25=$BW$23,$BX$22:$BX$23&gt;90,$BX$24:$BX$25&lt;90,$BY$22:$BY$25=$BY$23,$BZ$22&gt;$BZ$23,$BZ$23:$BZ$25=$BZ$23),1,0)</f>
        <v>0</v>
      </c>
      <c r="CX23" s="226">
        <f t="array" aca="1" ref="CX23" ca="1">IF(AND($BW$22:$BW$25=$BW$23,$BX$22:$BX$23&lt;90,$BX$24:$BX$25&gt;90,$BY$22:$BY$25=$BY$23,$BZ$22:$BZ$24=$BZ$23,$BZ$23&gt;$BZ$25),1,0)</f>
        <v>0</v>
      </c>
      <c r="CY23" s="226">
        <f t="array" aca="1" ref="CY23" ca="1">IF(AND($BW$22:$BW$25=$BW$23,$BX$22&gt;90,$BX$25&gt;90,$BX$23:$BX$24&lt;90,$BY$22:$BY$25=$BY$23,$BZ$22&gt;$BZ$23:$BZ$25,$BZ$23:$BZ$25=$BZ$23),1,0)</f>
        <v>0</v>
      </c>
      <c r="CZ23" s="226"/>
      <c r="DA23" s="226"/>
      <c r="DB23" s="226"/>
      <c r="DC23" s="226"/>
      <c r="DD23" s="226"/>
      <c r="DE23" s="226"/>
      <c r="DF23" s="227">
        <v>3</v>
      </c>
      <c r="DG23" s="227">
        <v>3</v>
      </c>
      <c r="DH23" s="227"/>
      <c r="DI23" s="227">
        <v>4</v>
      </c>
      <c r="DJ23" s="227"/>
      <c r="DK23" s="227"/>
      <c r="DL23" s="227"/>
      <c r="DM23" s="227"/>
      <c r="DN23" s="227"/>
      <c r="DO23" s="227"/>
      <c r="DP23" s="226"/>
      <c r="DQ23" s="226"/>
    </row>
    <row r="24" spans="1:121 8834:8834" ht="14.5" customHeight="1">
      <c r="A24" s="251" t="str">
        <f t="array" aca="1" ref="A24" ca="1">IF(ROWS(A$21:A24)&lt;=$C$20,INDEX(INDIRECT(A$20),SMALL(IF(Nivell=$B$20,ROW(Nivell)-ROW(Equipos!$C$2)+1),ROWS(B$20:B23))),"")</f>
        <v>Chile</v>
      </c>
      <c r="B24" s="252"/>
      <c r="C24" s="253"/>
      <c r="D24" s="286"/>
      <c r="E24" s="432"/>
      <c r="F24" s="174">
        <v>43640</v>
      </c>
      <c r="G24" s="175">
        <f t="shared" si="20"/>
        <v>43640.833333333336</v>
      </c>
      <c r="H24" s="174" t="s">
        <v>84</v>
      </c>
      <c r="I24" s="176" t="str">
        <f ca="1">A24</f>
        <v>Chile</v>
      </c>
      <c r="J24" s="177"/>
      <c r="K24" s="178">
        <v>0</v>
      </c>
      <c r="L24" s="178">
        <v>1</v>
      </c>
      <c r="M24" s="179"/>
      <c r="N24" s="188" t="str">
        <f ca="1">A21</f>
        <v>Uruguay</v>
      </c>
      <c r="O24" s="293">
        <f t="shared" si="22"/>
        <v>1</v>
      </c>
      <c r="P24" s="291"/>
      <c r="Q24" s="208">
        <v>3</v>
      </c>
      <c r="R24" s="9" t="str">
        <f ca="1">VLOOKUP(Q24,$AG$22:$AI$25,3,0)</f>
        <v>Ecuador</v>
      </c>
      <c r="S24" s="8">
        <f ca="1">VLOOKUP(R24,$AI$22:$AR$25,2,FALSE)</f>
        <v>1</v>
      </c>
      <c r="T24" s="8">
        <f ca="1">VLOOKUP($R24,$AI$22:$AR$25,3,FALSE)</f>
        <v>3</v>
      </c>
      <c r="U24" s="8">
        <f ca="1">VLOOKUP($R24,$AI$22:$AR$25,4,FALSE)</f>
        <v>0</v>
      </c>
      <c r="V24" s="8">
        <f ca="1">VLOOKUP($R24,$AI$22:$AR$25,5,FALSE)</f>
        <v>1</v>
      </c>
      <c r="W24" s="8">
        <f ca="1">VLOOKUP($R24,$AI$22:$AR$25,6,FALSE)</f>
        <v>2</v>
      </c>
      <c r="X24" s="8">
        <f ca="1">VLOOKUP($R24,$AI$22:$AR$25,7,FALSE)</f>
        <v>2</v>
      </c>
      <c r="Y24" s="8">
        <f ca="1">VLOOKUP($R24,$AI$22:$AR$25,8,FALSE)</f>
        <v>7</v>
      </c>
      <c r="Z24" s="209">
        <f ca="1">VLOOKUP($R24,$AI$22:$AR$25,9,FALSE)</f>
        <v>-5</v>
      </c>
      <c r="AA24" s="297">
        <f ca="1">IF(SUM($AK$22:$AK$25)=12,MIN(ABS(BS23-BS24),ABS(BS24-BS25)),100)</f>
        <v>10100000.00999999</v>
      </c>
      <c r="AB24" s="345" t="str">
        <f ca="1">IF(AND(AA24&gt;=0,AA24&lt;90),VLOOKUP(Q24,$BO$22:$BP$25,2,0),"")</f>
        <v/>
      </c>
      <c r="AC24" s="350"/>
      <c r="AD24" s="351"/>
      <c r="AE24" s="351"/>
      <c r="AF24" s="225">
        <f ca="1">VLOOKUP($R24,$AI$22:$AR$25,10,FALSE)</f>
        <v>950210999.89999998</v>
      </c>
      <c r="AG24" s="226">
        <f ca="1">RANK(AU24,$AU$22:$AU$25)</f>
        <v>4</v>
      </c>
      <c r="AH24" s="226">
        <f ca="1">RANK(AR24,$AR$22:$AR$25)</f>
        <v>4</v>
      </c>
      <c r="AI24" s="227" t="str">
        <f ca="1">A23</f>
        <v>Japón</v>
      </c>
      <c r="AJ24" s="226">
        <f ca="1">AL24*3+AM24*1+AN24*0</f>
        <v>1</v>
      </c>
      <c r="AK24" s="226">
        <f ca="1">COUNTIFS($I$20:$I$25,AI24,$K$20:$K$25,"&lt;&gt;",$L$20:$L$25,"&lt;&gt;")+COUNTIFS($N$20:$N$25,AI24,$L$20:$L$25,"&lt;&gt;",$K$20:$K$25,"&lt;&gt;")</f>
        <v>3</v>
      </c>
      <c r="AL24" s="226">
        <f t="array" aca="1" ref="AL24" ca="1">SUM((I$20:I$25=AI24)*(K$20:K$25&lt;&gt;"")*(L$20:L$25&lt;&gt;"")*(K$20:K$25&gt;L$20:L$25),(N$20:N$25=AI24)*(K$20:K$25&lt;&gt;"")*(L$20:L$25&lt;&gt;"")*(K$20:K$25&lt;L$20:L$25))</f>
        <v>0</v>
      </c>
      <c r="AM24" s="226">
        <f t="array" aca="1" ref="AM24" ca="1">SUM((I$20:I$25=AI24)*(K$20:K$25&lt;&gt;"")*(L$20:L$25&lt;&gt;"")*(K$20:K$25=L$20:L$25),(N$20:N$25=AI24)*(K$20:K$25&lt;&gt;"")*(L$20:L$25&lt;&gt;"")*(K$20:K$25=L$20:L$25))</f>
        <v>1</v>
      </c>
      <c r="AN24" s="226">
        <f t="array" aca="1" ref="AN24" ca="1">SUM((I$20:I$25=AI24)*(L$20:L$25&lt;&gt;"")*(K$20:K$25&lt;&gt;"")*(K$20:K$25&lt;L$20:L$25),(K$20:K$25&lt;&gt;"")*(N$20:N$25=AI24)*(L$20:L$25&lt;&gt;"")*(K$20:K$25&gt;L$20:L$25))</f>
        <v>2</v>
      </c>
      <c r="AO24" s="226">
        <f t="array" aca="1" ref="AO24" ca="1">SUMIFS($K$20:$K$25,$I$20:$I$25,AI24,$K$20:$K$25,"&lt;&gt;",$L$20:$L$25,"&lt;&gt;")+SUMIFS($L$20:$L$25,$N$20:$N$25,AI24,$K$20:$K$25,"&lt;&gt;",$L$20:$L$25,"&lt;&gt;")</f>
        <v>1</v>
      </c>
      <c r="AP24" s="226">
        <f t="array" aca="1" ref="AP24" ca="1">SUMIFS($K$20:$K$25,$N$20:$N$25,AI24,$K$20:$K$25,"&lt;&gt;",$L$20:$L$25,"&lt;&gt;")+SUMIFS($L$20:$L$25,$I$20:$I$25,AI24,$K$20:$K$25,"&lt;&gt;",$L$20:$L$25,"&lt;&gt;")</f>
        <v>7</v>
      </c>
      <c r="AQ24" s="226">
        <f ca="1">AO24-AP24</f>
        <v>-6</v>
      </c>
      <c r="AR24" s="226">
        <f ca="1">IF(AK24=0,-($AW$9*VLOOKUP(AI24,Tabla3[[NombreEquipo]:[Rank]],3,FALSE)),AJ24*$AW$4+AQ24*$AW$5+AO24*$AW$6+BA24-($AW$9*VLOOKUP(AI24,Tabla3[[NombreEquipo]:[Rank]],3,FALSE)/100))</f>
        <v>940110999.88999999</v>
      </c>
      <c r="AS24" s="226">
        <f ca="1">AH24</f>
        <v>4</v>
      </c>
      <c r="AT24" s="226"/>
      <c r="AU24" s="226">
        <f ca="1">IFERROR(AR24-VLOOKUP(AI24,$AB$22:$AC$25,2,0),AR24)</f>
        <v>940110999.88999999</v>
      </c>
      <c r="AV24" s="230"/>
      <c r="AW24" s="231"/>
      <c r="AX24" s="226"/>
      <c r="AY24" s="232" t="str">
        <f ca="1">AI24</f>
        <v>Japón</v>
      </c>
      <c r="AZ24" s="226">
        <f ca="1">COUNTIF(AJ22:AJ25,AJ24)</f>
        <v>2</v>
      </c>
      <c r="BA24" s="226">
        <f ca="1">(BB24*$AW$8)+(BH24*$AW$7)</f>
        <v>11000</v>
      </c>
      <c r="BB24" s="233">
        <f ca="1">RANK(BC24,BC22:BC25,1)</f>
        <v>1</v>
      </c>
      <c r="BC24" s="233">
        <f ca="1">SUM(IF(AND(AJ24=AJ25,AQ24=AQ25,AO24=AO25),BG24,0),IF(AND(AJ24=AJ22,AQ24=AQ22,AO24=AO22),BD24,0),IF(AND(AJ24=AJ23,AQ24=AQ23,AO24=AO23),BE24,0))</f>
        <v>0</v>
      </c>
      <c r="BD24" s="233">
        <f t="array" aca="1" ref="BD24" ca="1">SUMIFS($K$20:$K$25,$I$20:$I$25,$AY24,$K$20:$K$25,"&lt;&gt;",$L$20:$L$25,"&lt;&gt;",$N$20:$N$25,BD21)+SUMIFS($L$20:$L$25,$I$20:$I$25,BD21,$K$20:$K$25,"&lt;&gt;",$L$20:$L$25,"&lt;&gt;",$N$20:$N$25,$AY24)</f>
        <v>0</v>
      </c>
      <c r="BE24" s="233">
        <f t="array" aca="1" ref="BE24" ca="1">SUMIFS($K$20:$K$25,$I$20:$I$25,$AY24,$K$20:$K$25,"&lt;&gt;",$L$20:$L$25,"&lt;&gt;",$N$20:$N$25,BE21)+SUMIFS($L$20:$L$25,$I$20:$I$25,BE21,$K$20:$K$25,"&lt;&gt;",$L$20:$L$25,"&lt;&gt;",$N$20:$N$25,$AY24)</f>
        <v>1</v>
      </c>
      <c r="BF24" s="233">
        <v>0</v>
      </c>
      <c r="BG24" s="233">
        <f t="array" aca="1" ref="BG24" ca="1">SUMIFS($K$20:$K$25,$I$20:$I$25,$AY24,$K$20:$K$25,"&lt;&gt;",$L$20:$L$25,"&lt;&gt;",$N$20:$N$25,BG21)+SUMIFS($L$20:$L$25,$I$20:$I$25,BG21,$K$20:$K$25,"&lt;&gt;",$L$20:$L$25,"&lt;&gt;",$N$20:$N$25,$AY24)</f>
        <v>0</v>
      </c>
      <c r="BH24" s="233">
        <f ca="1">RANK(BI24,BI22:BI25,1)</f>
        <v>1</v>
      </c>
      <c r="BI24" s="233">
        <f ca="1">SUM(IF(AND(AJ24=AJ25,AQ24=AQ25,AO24=AO25),BM24,0),IF(AND(AJ24=AJ22,AQ24=AQ22,AO24=AO22),BJ24,0),IF(AND(AJ24=AJ23,AQ24=AQ23,AO24=AO23),BK24,0))</f>
        <v>0</v>
      </c>
      <c r="BJ24" s="233">
        <f ca="1">BD24-BF22</f>
        <v>-2</v>
      </c>
      <c r="BK24" s="233">
        <f ca="1">BE24-BF23</f>
        <v>0</v>
      </c>
      <c r="BL24" s="233">
        <v>0</v>
      </c>
      <c r="BM24" s="233">
        <f ca="1">BG24-BF25</f>
        <v>-4</v>
      </c>
      <c r="BN24" s="227">
        <v>3</v>
      </c>
      <c r="BO24" s="227">
        <f ca="1">RANK(BQ24,$BQ$22:$BQ$25)</f>
        <v>4</v>
      </c>
      <c r="BP24" s="227" t="str">
        <f ca="1">A23</f>
        <v>Japón</v>
      </c>
      <c r="BQ24" s="227">
        <f ca="1">IF(AK24=0,-($AW$9*VLOOKUP(AI24,Tabla3[[NombreEquipo]:[Rank]],3,FALSE)),AJ24*$AW$4+AQ24*$AW$5+AO24*$AW$6+BA24-($AW$9*VLOOKUP(AI24,Tabla3[[NombreEquipo]:[Rank]],3,FALSE)/100))</f>
        <v>940110999.88999999</v>
      </c>
      <c r="BR24" s="227" t="str">
        <f ca="1">VLOOKUP(Q24,$AH$22:$AI$25,2,0)</f>
        <v>Ecuador</v>
      </c>
      <c r="BS24" s="227">
        <f ca="1">VLOOKUP($BR24,$AI$22:$AR$25,10,FALSE)</f>
        <v>950210999.89999998</v>
      </c>
      <c r="BT24" s="227"/>
      <c r="BU24" s="227">
        <v>3</v>
      </c>
      <c r="BV24" s="227" t="str">
        <f ca="1">VLOOKUP(BU24,$AH$22:$AI$25,2,0)</f>
        <v>Ecuador</v>
      </c>
      <c r="BW24" s="227">
        <f ca="1">VLOOKUP(BV24,$AI$22:$AR$25,2,FALSE)</f>
        <v>1</v>
      </c>
      <c r="BX24" s="234">
        <f ca="1">IF(SUM($AK$22:$AK$25)=12,MIN(ABS(BS23-BS24),ABS(BS24-BS25)),100)</f>
        <v>10100000.00999999</v>
      </c>
      <c r="BY24" s="227">
        <f ca="1">VLOOKUP($BV24,$AI$22:$AR$25,9,FALSE)</f>
        <v>-5</v>
      </c>
      <c r="BZ24" s="227">
        <f ca="1">VLOOKUP($BV24,$AI$22:$AR$25,7,FALSE)</f>
        <v>2</v>
      </c>
      <c r="CA24" s="227">
        <f t="array" aca="1" ref="CA24" ca="1">IF($CB$22=$CD$21,$DF$21:$DF$24,IF($CB$22=$CE$21,$DG$21:$DG$23,IF(OR($CB$22=$CF$21,$CB$22=$CJ$21),$DJ$21:$DJ$22,IF($CB$22=$CH$21,$DI$21:$DI$23,(IF($CB$22=$CI$21,$DK$21:$DK$22,$DN$21))))))</f>
        <v>3</v>
      </c>
      <c r="CB24" s="226"/>
      <c r="CC24" s="226">
        <v>3</v>
      </c>
      <c r="CD24" s="226">
        <f t="array" aca="1" ref="CD24" ca="1">IF(AND($BW$22:$BW$25=$BW$8,$BX$22:$BX$25&lt;90,$AQ$22:$AQ$25=$AQ$8,$BZ$22:$BZ$25=$BZ$8),1,0)</f>
        <v>0</v>
      </c>
      <c r="CE24" s="226">
        <f t="array" aca="1" ref="CE24" ca="1">IF(AND($BW$22:$BW$24=$BW$24,$BX$22:$BX$24&lt;90,$BW$24&lt;&gt;$BW$25),1,0)</f>
        <v>0</v>
      </c>
      <c r="CF24" s="226">
        <f t="array" aca="1" ref="CF24" ca="1">IF(AND($BW$24:$BW$25=$BW$24,$BX$24:$BX$25&lt;90,$BW$24&lt;&gt;$BW$23),1,0)</f>
        <v>0</v>
      </c>
      <c r="CG24" s="226">
        <f t="array" aca="1" ref="CG24" ca="1">IF(OR(AND($BW$24&lt;&gt;$BW$23,$BW$24&lt;&gt;$BW$25),AND($BW$24&lt;&gt;$BW$23,$BW$24=$BW$25,$BX$24&gt;90,$BX$25&gt;90)),1,0)</f>
        <v>1</v>
      </c>
      <c r="CH24" s="226">
        <f t="array" aca="1" ref="CH24" ca="1">IF(AND($BW$23:$BW$25=$BW$23,$BX$23:$BX$25&lt;90,$BW$22&lt;&gt;$BW$24),1,0)</f>
        <v>0</v>
      </c>
      <c r="CI24" s="226">
        <f t="array" aca="1" ref="CI24" ca="1">IF(AND($BW$23:$BW$24=$BW$24,$BX$23:$BX$24&lt;90,$BW$24&lt;&gt;$BW$22,$BW$24&lt;&gt;$BW$25),1,0)</f>
        <v>0</v>
      </c>
      <c r="CJ24" s="226">
        <f t="array" aca="1" ref="CJ24" ca="1">IF(AND($BW$24:$BW$25=$BW$24,$BX$24:$BX$25&lt;90,$BW$24&lt;&gt;$BW$23),1,0)</f>
        <v>0</v>
      </c>
      <c r="CK24" s="226">
        <f t="array" aca="1" ref="CK24" ca="1">IF(AND($BW$24&lt;&gt;$BW$23,$BW$24&lt;&gt;$BW$25),1,0)</f>
        <v>0</v>
      </c>
      <c r="CL24" s="226">
        <f t="array" aca="1" ref="CL24" ca="1">IF(AND($BW$22:$BW$25=$BW$22,$BX$22:$BX$25&lt;90,$BY$24:$BY$25=$BY$24,$BY$23&lt;&gt;$BY$24),1,0)</f>
        <v>0</v>
      </c>
      <c r="CM24" s="226">
        <f t="array" aca="1" ref="CM24" ca="1">IF(AND($BW$22:$BW$25=$BW$22,$BX$22:$BX$25&lt;90,$BY$22:$BY$25=$BY$22,$BZ$24=$BZ$25,$BZ$23&lt;&gt;$BZ$24),1,0)</f>
        <v>0</v>
      </c>
      <c r="CN24" s="226">
        <f t="array" aca="1" ref="CN24" ca="1">IF(AND($BW$22:$BW$24=$BW$24,$BX$22:$BX$23&lt;90,$BX$24&gt;90),1,0)</f>
        <v>0</v>
      </c>
      <c r="CO24" s="226">
        <f t="array" aca="1" ref="CO24" ca="1">IF(AND($BW$23&lt;&gt;$BW$22,$BW$23:$BW$25=$BW$24,$BX$23&gt;90,$BX$24:$BX$25&lt;90),1,0)</f>
        <v>0</v>
      </c>
      <c r="CP24" s="226">
        <f t="array" aca="1" ref="CP24" ca="1">IF(AND($BW$23&lt;&gt;$BW$22,$BW$23:$BW$25=$BW$23,$BX$25&gt;90,$BX$23:$BX$24&lt;90),1,0)</f>
        <v>0</v>
      </c>
      <c r="CQ24" s="226">
        <f t="array" aca="1" ref="CQ24" ca="1">IF(AND($BW$24&lt;&gt;$BW$25,$BW$22:$BW$24=$BW$24,$BX$22&gt;90,$BX$23:$BX$24&lt;90),1,0)</f>
        <v>0</v>
      </c>
      <c r="CR24" s="226">
        <f t="array" aca="1" ref="CR24" ca="1">IF(AND($BW$22:$BW$25=$BW$23,$BX$23:$BX$25&lt;90,$BX$22&lt;&gt;$BX$24),1,0)</f>
        <v>0</v>
      </c>
      <c r="CS24" s="226">
        <f t="array" aca="1" ref="CS24" ca="1">IF(AND($BW$22:$BW$25=$BW$24,$BX$22:$BX$24&lt;90,$BX$24&lt;&gt;$BX$25),1,0)</f>
        <v>0</v>
      </c>
      <c r="CT24" s="226">
        <f t="array" aca="1" ref="CT24" ca="1">IF(AND($BW$22:$BW$25=$BW$24,$BX$22:$BX$23&gt;90,$BX$24:$BX$25&lt;90,$BY$22:$BY$25=$BY$24,$BZ$22&gt;$BZ$23,$BZ$23&gt;$BZ$24,$BZ$24=$BZ$25),1,0)</f>
        <v>0</v>
      </c>
      <c r="CU24" s="226">
        <f t="array" aca="1" ref="CU24" ca="1">IF(AND($BW$22:$BW$25=$BW$24,$BX$22&gt;90,$BX$23:$BX$24&lt;90,$BX$25&gt;90,$BY$22:$BY$25=$BY$24,$BZ$22&gt;$BZ$23,$BZ$23=$BZ$24,$BZ$24&gt;$BZ$25),1,0)</f>
        <v>0</v>
      </c>
      <c r="CV24" s="226">
        <f t="array" aca="1" ref="CV24" ca="1">IF(AND($BW$22:$BW$25=$BW$24,$BX$22:$BX$23&lt;90,$BX$24:$BX$25&gt;90,$BY$22:$BY$25=$BY$24,$BZ$22=$BZ$23,$BZ$23&gt;$BZ$24,$BZ$24&gt;$BZ$25),1,0)</f>
        <v>0</v>
      </c>
      <c r="CW24" s="226">
        <f t="array" aca="1" ref="CW24" ca="1">IF(AND($BW$22:$BW$25=$BW$24,$BX$22:$BX$23&gt;90,$BX$24:$BX$25&lt;90,$BY$22:$BY$25=$BY$23,$BZ$22&gt;$BZ$24,$BZ$23:$BZ$25=$BZ$24),1,0)</f>
        <v>0</v>
      </c>
      <c r="CX24" s="226">
        <f t="array" aca="1" ref="CX24" ca="1">IF(AND($BW$22:$BW$25=$BW$24,$BX$22:$BX$23&lt;90,$BX$24:$BX$25&gt;90,$BY$22:$BY$25=$BY$24,$BZ$22:$BZ$24=$BZ$24,$BZ$24&gt;$BZ$25),1,0)</f>
        <v>0</v>
      </c>
      <c r="CY24" s="226">
        <f t="array" aca="1" ref="CY24" ca="1">IF(AND($BW$22:$BW$25=$BW$24,$BX$22&gt;90,$BX$25&gt;90,$BX$23:$BX$24&lt;90,$BY$22:$BY$25=$BY$24,$BZ$22&gt;$BZ$23:$BZ$25,$BZ$23:$BZ$25=$BZ$24),1,0)</f>
        <v>0</v>
      </c>
      <c r="CZ24" s="226"/>
      <c r="DA24" s="226"/>
      <c r="DB24" s="226"/>
      <c r="DC24" s="226"/>
      <c r="DD24" s="226"/>
      <c r="DE24" s="226"/>
      <c r="DF24" s="227">
        <v>4</v>
      </c>
      <c r="DG24" s="227"/>
      <c r="DH24" s="227"/>
      <c r="DI24" s="227"/>
      <c r="DJ24" s="227"/>
      <c r="DK24" s="227"/>
      <c r="DL24" s="227"/>
      <c r="DM24" s="227"/>
      <c r="DN24" s="227"/>
      <c r="DO24" s="227"/>
      <c r="DP24" s="226"/>
      <c r="DQ24" s="226"/>
    </row>
    <row r="25" spans="1:121 8834:8834" ht="15" customHeight="1" thickBot="1">
      <c r="A25" s="220"/>
      <c r="B25" s="220"/>
      <c r="C25" s="220"/>
      <c r="D25" s="286"/>
      <c r="E25" s="433"/>
      <c r="F25" s="189">
        <v>43640</v>
      </c>
      <c r="G25" s="190">
        <f t="shared" si="20"/>
        <v>43640.833333333336</v>
      </c>
      <c r="H25" s="189" t="s">
        <v>84</v>
      </c>
      <c r="I25" s="191" t="str">
        <f ca="1">A22</f>
        <v>Ecuador</v>
      </c>
      <c r="J25" s="192"/>
      <c r="K25" s="193">
        <v>1</v>
      </c>
      <c r="L25" s="193">
        <v>1</v>
      </c>
      <c r="M25" s="194"/>
      <c r="N25" s="195" t="str">
        <f ca="1">A23</f>
        <v>Japón</v>
      </c>
      <c r="O25" s="293">
        <f t="shared" si="22"/>
        <v>1</v>
      </c>
      <c r="P25" s="291"/>
      <c r="Q25" s="210">
        <v>4</v>
      </c>
      <c r="R25" s="211" t="str">
        <f ca="1">VLOOKUP(Q25,$AG$22:$AI$25,3,0)</f>
        <v>Japón</v>
      </c>
      <c r="S25" s="212">
        <f ca="1">VLOOKUP(R25,$AI$22:$AR$25,2,FALSE)</f>
        <v>1</v>
      </c>
      <c r="T25" s="212">
        <f ca="1">VLOOKUP($R25,$AI$22:$AR$25,3,FALSE)</f>
        <v>3</v>
      </c>
      <c r="U25" s="212">
        <f ca="1">VLOOKUP($R25,$AI$22:$AR$25,4,FALSE)</f>
        <v>0</v>
      </c>
      <c r="V25" s="212">
        <f ca="1">VLOOKUP($R25,$AI$22:$AR$25,5,FALSE)</f>
        <v>1</v>
      </c>
      <c r="W25" s="212">
        <f ca="1">VLOOKUP($R25,$AI$22:$AR$25,6,FALSE)</f>
        <v>2</v>
      </c>
      <c r="X25" s="212">
        <f ca="1">VLOOKUP($R25,$AI$22:$AR$25,7,FALSE)</f>
        <v>1</v>
      </c>
      <c r="Y25" s="212">
        <f ca="1">VLOOKUP($R25,$AI$22:$AR$25,8,FALSE)</f>
        <v>7</v>
      </c>
      <c r="Z25" s="213">
        <f ca="1">VLOOKUP($R25,$AI$22:$AR$25,9,FALSE)</f>
        <v>-6</v>
      </c>
      <c r="AA25" s="297">
        <f ca="1">IF(SUM($AK$22:$AK$25)=12,MIN(ABS(BS24-BS25),ABS(BS25-BS41)),100)</f>
        <v>10100000.00999999</v>
      </c>
      <c r="AB25" s="345" t="str">
        <f ca="1">IF(AND(AA25&gt;=0,AA25&lt;90),VLOOKUP(Q25,$BO$22:$BP$25,2,0),"")</f>
        <v/>
      </c>
      <c r="AC25" s="346"/>
      <c r="AD25" s="297"/>
      <c r="AE25" s="297"/>
      <c r="AF25" s="225">
        <f ca="1">VLOOKUP($R25,$AI$22:$AR$25,10,FALSE)</f>
        <v>940110999.88999999</v>
      </c>
      <c r="AG25" s="226">
        <f ca="1">RANK(AU25,$AU$22:$AU$25)</f>
        <v>2</v>
      </c>
      <c r="AH25" s="226">
        <f ca="1">RANK(AR25,$AR$22:$AR$25)</f>
        <v>2</v>
      </c>
      <c r="AI25" s="227" t="str">
        <f ca="1">A24</f>
        <v>Chile</v>
      </c>
      <c r="AJ25" s="226">
        <f ca="1">AL25*3+AM25*1+AN25*0</f>
        <v>6</v>
      </c>
      <c r="AK25" s="226">
        <f ca="1">COUNTIFS($I$20:$I$25,AI25,$K$20:$K$25,"&lt;&gt;",$L$20:$L$25,"&lt;&gt;")+COUNTIFS($N$20:$N$25,AI25,$L$20:$L$25,"&lt;&gt;",$K$20:$K$25,"&lt;&gt;")</f>
        <v>3</v>
      </c>
      <c r="AL25" s="226">
        <f t="array" aca="1" ref="AL25" ca="1">SUM((I$20:I$25=AI25)*(K$20:K$25&lt;&gt;"")*(L$20:L$25&lt;&gt;"")*(K$20:K$25&gt;L$20:L$25),(N$20:N$25=AI25)*(K$20:K$25&lt;&gt;"")*(L$20:L$25&lt;&gt;"")*(K$20:K$25&lt;L$20:L$25))</f>
        <v>2</v>
      </c>
      <c r="AM25" s="226">
        <f t="array" aca="1" ref="AM25" ca="1">SUM((I$20:I$25=AI25)*(K$20:K$25&lt;&gt;"")*(L$20:L$25&lt;&gt;"")*(K$20:K$25=L$20:L$25),(N$20:N$25=AI25)*(K$20:K$25&lt;&gt;"")*(L$20:L$25&lt;&gt;"")*(K$20:K$25=L$20:L$25))</f>
        <v>0</v>
      </c>
      <c r="AN25" s="226">
        <f t="array" aca="1" ref="AN25" ca="1">SUM((I$20:I$25=AI25)*(L$20:L$25&lt;&gt;"")*(K$20:K$25&lt;&gt;"")*(K$20:K$25&lt;L$20:L$25),(K$20:K$25&lt;&gt;"")*(N$20:N$25=AI25)*(L$20:L$25&lt;&gt;"")*(K$20:K$25&gt;L$20:L$25))</f>
        <v>1</v>
      </c>
      <c r="AO25" s="226">
        <f t="array" aca="1" ref="AO25" ca="1">SUMIFS($K$20:$K$25,$I$20:$I$25,AI25,$K$20:$K$25,"&lt;&gt;",$L$20:$L$25,"&lt;&gt;")+SUMIFS($L$20:$L$25,$N$20:$N$25,AI25,$K$20:$K$25,"&lt;&gt;",$L$20:$L$25,"&lt;&gt;")</f>
        <v>6</v>
      </c>
      <c r="AP25" s="226">
        <f t="array" aca="1" ref="AP25" ca="1">SUMIFS($K$20:$K$25,$N$20:$N$25,AI25,$K$20:$K$25,"&lt;&gt;",$L$20:$L$25,"&lt;&gt;")+SUMIFS($L$20:$L$25,$I$20:$I$25,AI25,$K$20:$K$25,"&lt;&gt;",$L$20:$L$25,"&lt;&gt;")</f>
        <v>2</v>
      </c>
      <c r="AQ25" s="226">
        <f ca="1">AO25-AP25</f>
        <v>4</v>
      </c>
      <c r="AR25" s="226">
        <f ca="1">IF(AK25=0,-($AW$9*VLOOKUP(AI25,Tabla3[[NombreEquipo]:[Rank]],3,FALSE)),AJ25*$AW$4+AQ25*$AW$5+AO25*$AW$6+BA25-($AW$9*VLOOKUP(AI25,Tabla3[[NombreEquipo]:[Rank]],3,FALSE)/100))</f>
        <v>6040610999.8800001</v>
      </c>
      <c r="AS25" s="226">
        <f ca="1">AH25</f>
        <v>2</v>
      </c>
      <c r="AT25" s="226"/>
      <c r="AU25" s="226">
        <f ca="1">IFERROR(AR25-VLOOKUP(AI25,$AB$22:$AC$25,2,0),AR25)</f>
        <v>6040610999.8800001</v>
      </c>
      <c r="AV25" s="230"/>
      <c r="AW25" s="231"/>
      <c r="AX25" s="226"/>
      <c r="AY25" s="232" t="str">
        <f ca="1">AI25</f>
        <v>Chile</v>
      </c>
      <c r="AZ25" s="226">
        <f ca="1">COUNTIF(AJ22:AJ25,AJ25)</f>
        <v>1</v>
      </c>
      <c r="BA25" s="226">
        <f ca="1">(BB25*$AW$8)+(BH25*$AW$7)</f>
        <v>11000</v>
      </c>
      <c r="BB25" s="233">
        <f ca="1">RANK(BC25,BC22:BC25,1)</f>
        <v>1</v>
      </c>
      <c r="BC25" s="233">
        <f ca="1">SUM(IF(AND(AJ25=AJ22,AQ25=AQ22,AO25=AO22),BD25,0),IF(AND(AJ25=AJ23,AQ25=AQ23,AO25=AO23),BE25,0),IF(AND(AJ25=AJ24,AQ25=AQ24,AO25=AO24),BF25,0))</f>
        <v>0</v>
      </c>
      <c r="BD25" s="233">
        <f t="array" aca="1" ref="BD25" ca="1">SUMIFS($K$20:$K$25,$I$20:$I$25,$AY25,$K$20:$K$25,"&lt;&gt;",$L$20:$L$25,"&lt;&gt;",$N$20:$N$25,BD21)+SUMIFS($L$20:$L$25,$I$20:$I$25,BD21,$K$20:$K$25,"&lt;&gt;",$L$20:$L$25,"&lt;&gt;",$N$20:$N$25,$AY25)</f>
        <v>0</v>
      </c>
      <c r="BE25" s="233">
        <f t="array" aca="1" ref="BE25" ca="1">SUMIFS($K$20:$K$25,$I$20:$I$25,$AY25,$K$20:$K$25,"&lt;&gt;",$L$20:$L$25,"&lt;&gt;",$N$20:$N$25,BE21)+SUMIFS($L$20:$L$25,$I$20:$I$25,BE21,$K$20:$K$25,"&lt;&gt;",$L$20:$L$25,"&lt;&gt;",$N$20:$N$25,$AY25)</f>
        <v>2</v>
      </c>
      <c r="BF25" s="233">
        <f t="array" aca="1" ref="BF25" ca="1">SUMIFS($K$20:$K$25,$I$20:$I$25,$AY25,$K$20:$K$25,"&lt;&gt;",$L$20:$L$25,"&lt;&gt;",$N$20:$N$25,BF21)+SUMIFS($L$20:$L$25,$I$20:$I$25,BF21,$K$20:$K$25,"&lt;&gt;",$L$20:$L$25,"&lt;&gt;",$N$20:$N$25,$AY25)</f>
        <v>4</v>
      </c>
      <c r="BG25" s="233">
        <v>0</v>
      </c>
      <c r="BH25" s="233">
        <f ca="1">RANK(BI25,BI22:BI25,1)</f>
        <v>1</v>
      </c>
      <c r="BI25" s="233">
        <f ca="1">SUM(IF(AND(AJ25=AJ22,AQ25=AQ22,AO25=AO22),BJ25,0),IF(AND(AJ25=AJ23,AQ25=AQ23,AO25=AO23),BK25,0),IF(AND(AJ25=AJ24,AQ25=AQ24,AO25=AO24),BL25,0))</f>
        <v>0</v>
      </c>
      <c r="BJ25" s="233">
        <f ca="1">BD25-BG22</f>
        <v>-1</v>
      </c>
      <c r="BK25" s="233">
        <f ca="1">BE25-BG23</f>
        <v>1</v>
      </c>
      <c r="BL25" s="233">
        <f ca="1">BF25-BG24</f>
        <v>4</v>
      </c>
      <c r="BM25" s="233">
        <v>0</v>
      </c>
      <c r="BN25" s="227">
        <v>4</v>
      </c>
      <c r="BO25" s="227">
        <f ca="1">RANK(BQ25,$BQ$22:$BQ$25)</f>
        <v>2</v>
      </c>
      <c r="BP25" s="227" t="str">
        <f ca="1">A24</f>
        <v>Chile</v>
      </c>
      <c r="BQ25" s="227">
        <f ca="1">IF(AK25=0,-($AW$9*VLOOKUP(AI25,Tabla3[[NombreEquipo]:[Rank]],3,FALSE)),AJ25*$AW$4+AQ25*$AW$5+AO25*$AW$6+BA25-($AW$9*VLOOKUP(AI25,Tabla3[[NombreEquipo]:[Rank]],3,FALSE)/100))</f>
        <v>6040610999.8800001</v>
      </c>
      <c r="BR25" s="227" t="str">
        <f ca="1">VLOOKUP(Q25,$AH$22:$AI$25,2,0)</f>
        <v>Japón</v>
      </c>
      <c r="BS25" s="227">
        <f ca="1">VLOOKUP($BR25,$AI$22:$AR$25,10,FALSE)</f>
        <v>940110999.88999999</v>
      </c>
      <c r="BT25" s="227"/>
      <c r="BU25" s="227">
        <v>4</v>
      </c>
      <c r="BV25" s="227" t="str">
        <f ca="1">VLOOKUP(BU25,$AH$22:$AI$25,2,0)</f>
        <v>Japón</v>
      </c>
      <c r="BW25" s="227">
        <f ca="1">VLOOKUP(BV25,$AI$22:$AR$25,2,FALSE)</f>
        <v>1</v>
      </c>
      <c r="BX25" s="234">
        <f ca="1">IF(SUM($AK$22:$AK$25)=12,MIN(ABS(BS24-BS25),ABS(BS25-BS41)),100)</f>
        <v>10100000.00999999</v>
      </c>
      <c r="BY25" s="227">
        <f ca="1">VLOOKUP($BV25,$AI$22:$AR$25,9,FALSE)</f>
        <v>-6</v>
      </c>
      <c r="BZ25" s="227">
        <f ca="1">VLOOKUP($BV25,$AI$22:$AR$25,7,FALSE)</f>
        <v>1</v>
      </c>
      <c r="CA25" s="227">
        <f t="array" aca="1" ref="CA25" ca="1">IF($CB$22=$CD$21,$DF$21:$DF$24,IF(OR($CB$22=$CF$21,$CB$22=$CJ$21),$DJ$21:$DJ$22,IF($CB$22=$CH$21,$DI$21:$DI$23,$DO$21)))</f>
        <v>4</v>
      </c>
      <c r="CB25" s="226"/>
      <c r="CC25" s="226">
        <v>4</v>
      </c>
      <c r="CD25" s="226">
        <f t="array" aca="1" ref="CD25" ca="1">IF(AND($BW$22:$BW$25=$BW$25,$BX$22:$BX$25&lt;90,$AQ$22:$AQ$25=$AQ$25,$BZ$22:$BZ$25=$BZ$25),1,0)</f>
        <v>0</v>
      </c>
      <c r="CE25" s="226">
        <f t="array" aca="1" ref="CE25" ca="1">IF(AND($BW$22:$BW$24=$BW$22,$BX$22:$BX$24&lt;90,$BX$25&gt;90,$BW$22&lt;&gt;$BW$25),1,0)</f>
        <v>0</v>
      </c>
      <c r="CF25" s="226">
        <f t="array" aca="1" ref="CF25" ca="1">IF(AND($BW$24:$BW$25=$BW$24,$BX$24:$BX$25&lt;90,$BW$24&lt;&gt;$BW$23),1,0)</f>
        <v>0</v>
      </c>
      <c r="CG25" s="226">
        <f t="array" aca="1" ref="CG25" ca="1">IF(AND($BW$25&lt;&gt;$BW$23,$BW$25&lt;&gt;$BW$22),1,0)</f>
        <v>1</v>
      </c>
      <c r="CH25" s="226">
        <f t="array" aca="1" ref="CH25" ca="1">IF(AND($BW$23:$BW$25=$BW$23,$BX$23:$BX$25&lt;90,$BW$22&lt;&gt;$BW$25),1,0)</f>
        <v>0</v>
      </c>
      <c r="CI25" s="226">
        <f t="array" aca="1" ref="CI25" ca="1">IF(AND($BW$25&lt;&gt;$BW$23,$BW$25&lt;&gt;$BW$22),1,0)</f>
        <v>1</v>
      </c>
      <c r="CJ25" s="226">
        <f t="array" aca="1" ref="CJ25" ca="1">IF(AND($BW$24:$BW$25=$BW$24,$BX$24:$BX$25&lt;90,$BW$24&lt;&gt;$BW$23),1,0)</f>
        <v>0</v>
      </c>
      <c r="CK25" s="226">
        <f t="array" aca="1" ref="CK25" ca="1">IF(AND($BW$25&lt;&gt;$BW$23,$BW$25&lt;&gt;$BW$22),1,0)</f>
        <v>1</v>
      </c>
      <c r="CL25" s="226">
        <f t="array" aca="1" ref="CL25" ca="1">IF(AND($BW$22:$BW$25=$BW$22,$BX$22:$BX$25&lt;90,$BY$24:$BY$25=$BY$25,$BY$23&lt;&gt;$BY$25),1,0)</f>
        <v>0</v>
      </c>
      <c r="CM25" s="226">
        <f t="array" aca="1" ref="CM25" ca="1">IF(AND($BW$22:$BW$25=$BW$22,$BX$22:$BX$25&lt;90,$BY$22:$BY$25=$BY$22,$BZ$24=$BZ$25,$BZ$23&lt;&gt;$BZ$24),1,0)</f>
        <v>0</v>
      </c>
      <c r="CN25" s="226">
        <f t="array" aca="1" ref="CN25" ca="1">IF(AND($BW$22:$BW$24=$BW$22,$BX$22:$BX$23&lt;90,$BW$24&lt;&gt;$BW$25),1,0)</f>
        <v>0</v>
      </c>
      <c r="CO25" s="226">
        <f t="array" aca="1" ref="CO25" ca="1">IF(AND($BW$23&lt;&gt;$BW$22,$BW$23:$BW$25=$BW$24,$BX$23&gt;90,$BX$24:$BX$25&lt;90),1,0)</f>
        <v>0</v>
      </c>
      <c r="CP25" s="226">
        <f t="array" aca="1" ref="CP25" ca="1">IF(AND($BW$23&lt;&gt;$BW$22,$BW$23:$BW$25=$BW$23,$BX$25&gt;90,$BX$23:$BX$24&lt;90),1,0)</f>
        <v>0</v>
      </c>
      <c r="CQ25" s="226">
        <f t="array" aca="1" ref="CQ25" ca="1">IF(AND($BW$25&lt;&gt;$BW$23,$BW$25&lt;&gt;$BW$24),1,0)</f>
        <v>0</v>
      </c>
      <c r="CR25" s="226">
        <f t="array" aca="1" ref="CR25" ca="1">IF(AND($BW$22:$BW$25=$BW$23,$BX$23:$BX$25&lt;90,$BX$22&lt;&gt;$BX$25),1,0)</f>
        <v>0</v>
      </c>
      <c r="CS25" s="226">
        <f t="array" aca="1" ref="CS25" ca="1">IF(AND($BW$22:$BW$25=$BW$22,$BX$22:$BX$24&lt;90,$BX$24&lt;&gt;$BX$25),1,0)</f>
        <v>0</v>
      </c>
      <c r="CT25" s="226">
        <f t="array" aca="1" ref="CT25" ca="1">IF(AND($BW$22:$BW$25=$BW$25,$BX$22:$BX$23&gt;90,$BX$24:$BX$25&lt;90,$BY$22:$BY$25=$BY$25,$BZ$22&gt;$BZ$23,$BZ$23&gt;$BZ$25,$BZ$24=$BZ$25),1,0)</f>
        <v>0</v>
      </c>
      <c r="CU25" s="226">
        <f t="array" aca="1" ref="CU25" ca="1">IF(AND($BW$22:$BW$25=$BW$23,$BX$22&gt;90,$BX$23:$BX$24&lt;90,$BX$25&gt;90,$BY$22:$BY$25=$BY$25,$BZ$22&gt;$BZ$25,$BZ$23=$BZ$24,$BZ$23&gt;$BZ$25),1,0)</f>
        <v>0</v>
      </c>
      <c r="CV25" s="226">
        <f t="array" aca="1" ref="CV25" ca="1">IF(AND($BW$22:$BW$25=$BW$25,$BX$22:$BX$23&lt;90,$BX$24:$BX$25&gt;90,$BY$22:$BY$25=$BY$25,$BZ$22=$BZ$23,$BZ$23&gt;$BZ$24,$BZ$24&gt;$BZ$25),1,0)</f>
        <v>0</v>
      </c>
      <c r="CW25" s="226">
        <f t="array" aca="1" ref="CW25" ca="1">IF(AND($BW$22:$BW$25=$BW$25,$BX$22:$BX$23&gt;90,$BX$24:$BX$25&lt;90,$BY$22:$BY$25=$BY$25,$BZ$22&gt;$BZ$25,$BZ$23:$BZ$25=$BZ$25),1,0)</f>
        <v>0</v>
      </c>
      <c r="CX25" s="226">
        <f t="array" aca="1" ref="CX25" ca="1">IF(AND($BW$22:$BW$25=$BW$25,$BX$22:$BX$23&lt;90,$BX$24:$BX$25&gt;90,$BY$22:$BY$25=$BY$25,$BZ$22:$BZ$24=$BZ$24,$BZ$22:$BZ$24&gt;$BZ$25),1,0)</f>
        <v>0</v>
      </c>
      <c r="CY25" s="226">
        <f t="array" aca="1" ref="CY25" ca="1">IF(AND($BW$22:$BW$25=$BW$25,$BX$22&gt;90,$BX$25&gt;90,$BX$23:$BX$24&lt;90,$BY$22:$BY$25=$BY$25,$BZ$22&gt;$BZ$23:$BZ$25,$BZ$23:$BZ$25=$BZ$25),1,0)</f>
        <v>0</v>
      </c>
      <c r="CZ25" s="226"/>
      <c r="DA25" s="226"/>
      <c r="DB25" s="226"/>
      <c r="DC25" s="226"/>
      <c r="DD25" s="226"/>
      <c r="DE25" s="226"/>
      <c r="DF25" s="226"/>
      <c r="DG25" s="226"/>
      <c r="DH25" s="226"/>
      <c r="DI25" s="226"/>
      <c r="DJ25" s="226"/>
      <c r="DK25" s="226"/>
      <c r="DL25" s="226"/>
      <c r="DM25" s="226"/>
      <c r="DN25" s="226"/>
      <c r="DO25" s="226"/>
      <c r="DP25" s="226"/>
      <c r="DQ25" s="226"/>
    </row>
    <row r="26" spans="1:121 8834:8834">
      <c r="A26" s="220"/>
      <c r="B26" s="220"/>
      <c r="C26" s="220"/>
      <c r="D26" s="286"/>
      <c r="E26" s="271"/>
      <c r="F26" s="300"/>
      <c r="G26" s="271"/>
      <c r="H26" s="271"/>
      <c r="I26" s="271"/>
      <c r="J26" s="271"/>
      <c r="K26" s="271"/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99"/>
      <c r="AD26" s="297"/>
      <c r="AE26" s="297"/>
      <c r="AF26" s="225"/>
      <c r="AG26" s="226"/>
      <c r="AH26" s="226"/>
      <c r="AI26" s="227"/>
      <c r="AJ26" s="226"/>
      <c r="AK26" s="226"/>
      <c r="AL26" s="226"/>
      <c r="AM26" s="226"/>
      <c r="AN26" s="226"/>
      <c r="AO26" s="226"/>
      <c r="AP26" s="226"/>
      <c r="AQ26" s="226"/>
      <c r="AR26" s="226"/>
      <c r="AS26" s="226"/>
      <c r="AT26" s="226"/>
      <c r="AU26" s="226"/>
      <c r="AV26" s="226"/>
      <c r="AW26" s="226"/>
      <c r="AX26" s="226"/>
      <c r="AY26" s="232"/>
      <c r="AZ26" s="226"/>
      <c r="BA26" s="226"/>
      <c r="BB26" s="233"/>
      <c r="BC26" s="233"/>
      <c r="BD26" s="233"/>
      <c r="BE26" s="233"/>
      <c r="BF26" s="233"/>
      <c r="BG26" s="233"/>
      <c r="BH26" s="233"/>
      <c r="BI26" s="233"/>
      <c r="BJ26" s="233"/>
      <c r="BK26" s="233"/>
      <c r="BL26" s="233"/>
      <c r="BM26" s="233"/>
      <c r="BN26" s="227"/>
      <c r="BO26" s="227"/>
      <c r="BP26" s="227"/>
      <c r="BQ26" s="227"/>
      <c r="BR26" s="227"/>
      <c r="BS26" s="227"/>
      <c r="BT26" s="227"/>
      <c r="BU26" s="227"/>
      <c r="BV26" s="227"/>
      <c r="BW26" s="227"/>
      <c r="BX26" s="234"/>
      <c r="BY26" s="227"/>
      <c r="BZ26" s="227"/>
      <c r="CA26" s="227"/>
      <c r="CB26" s="226"/>
      <c r="CC26" s="226"/>
      <c r="CD26" s="226"/>
      <c r="CE26" s="226"/>
      <c r="CF26" s="226"/>
      <c r="CG26" s="226"/>
      <c r="CH26" s="226"/>
      <c r="CI26" s="226"/>
      <c r="CJ26" s="226"/>
      <c r="CK26" s="226"/>
      <c r="CL26" s="226"/>
      <c r="CM26" s="226"/>
      <c r="CN26" s="226"/>
      <c r="CO26" s="226"/>
      <c r="CP26" s="226"/>
      <c r="CQ26" s="226"/>
      <c r="CR26" s="226"/>
      <c r="CS26" s="226"/>
      <c r="CT26" s="226"/>
      <c r="CU26" s="226"/>
      <c r="CV26" s="226"/>
      <c r="CW26" s="226"/>
      <c r="CX26" s="226"/>
      <c r="CY26" s="226"/>
      <c r="CZ26" s="226"/>
      <c r="DA26" s="226"/>
      <c r="DB26" s="226"/>
      <c r="DC26" s="226"/>
      <c r="DD26" s="226"/>
      <c r="DE26" s="226"/>
      <c r="DF26" s="226"/>
      <c r="DG26" s="226"/>
      <c r="DH26" s="226"/>
      <c r="DI26" s="226"/>
      <c r="DJ26" s="226"/>
      <c r="DK26" s="226"/>
      <c r="DL26" s="226"/>
      <c r="DM26" s="226"/>
      <c r="DN26" s="226"/>
      <c r="DO26" s="226"/>
      <c r="DP26" s="226"/>
      <c r="DQ26" s="226"/>
    </row>
    <row r="27" spans="1:121 8834:8834" ht="7.5" customHeight="1">
      <c r="A27" s="220"/>
      <c r="B27" s="220"/>
      <c r="C27" s="220"/>
      <c r="D27" s="286"/>
      <c r="E27" s="287"/>
      <c r="F27" s="288"/>
      <c r="G27" s="287"/>
      <c r="H27" s="301"/>
      <c r="I27" s="290"/>
      <c r="J27" s="291"/>
      <c r="K27" s="280"/>
      <c r="L27" s="280"/>
      <c r="M27" s="302"/>
      <c r="N27" s="292"/>
      <c r="O27" s="291"/>
      <c r="P27" s="291"/>
      <c r="Q27" s="294"/>
      <c r="R27" s="295"/>
      <c r="S27" s="296"/>
      <c r="T27" s="294"/>
      <c r="U27" s="294"/>
      <c r="V27" s="294"/>
      <c r="W27" s="294"/>
      <c r="X27" s="294"/>
      <c r="Y27" s="294"/>
      <c r="Z27" s="294"/>
      <c r="AA27" s="303"/>
      <c r="AB27" s="303"/>
      <c r="AC27" s="303"/>
      <c r="AD27" s="303"/>
      <c r="AE27" s="303"/>
      <c r="AF27" s="225"/>
      <c r="AG27" s="226"/>
      <c r="AH27" s="226"/>
      <c r="AI27" s="227"/>
      <c r="AJ27" s="226"/>
      <c r="AK27" s="226"/>
      <c r="AL27" s="226"/>
      <c r="AM27" s="226"/>
      <c r="AN27" s="226"/>
      <c r="AO27" s="226"/>
      <c r="AP27" s="226"/>
      <c r="AQ27" s="226"/>
      <c r="AR27" s="226"/>
      <c r="AS27" s="226"/>
      <c r="AT27" s="226"/>
      <c r="AU27" s="226"/>
      <c r="AV27" s="226"/>
      <c r="AW27" s="226"/>
      <c r="AX27" s="226"/>
      <c r="AY27" s="232"/>
      <c r="AZ27" s="226"/>
      <c r="BA27" s="226"/>
      <c r="BB27" s="233"/>
      <c r="BC27" s="233"/>
      <c r="BD27" s="233"/>
      <c r="BE27" s="233"/>
      <c r="BF27" s="233"/>
      <c r="BG27" s="233"/>
      <c r="BH27" s="233"/>
      <c r="BI27" s="233"/>
      <c r="BJ27" s="233"/>
      <c r="BK27" s="233"/>
      <c r="BL27" s="233"/>
      <c r="BM27" s="233"/>
      <c r="BN27" s="227"/>
      <c r="BO27" s="227"/>
      <c r="BP27" s="227"/>
      <c r="BQ27" s="227"/>
      <c r="BR27" s="227"/>
      <c r="BS27" s="227"/>
      <c r="BT27" s="227"/>
      <c r="BU27" s="227"/>
      <c r="BV27" s="227"/>
      <c r="BW27" s="227"/>
      <c r="BX27" s="227"/>
      <c r="BY27" s="227"/>
      <c r="BZ27" s="227"/>
      <c r="CA27" s="227"/>
      <c r="CB27" s="226"/>
      <c r="CC27" s="226"/>
      <c r="CD27" s="226"/>
      <c r="CE27" s="226"/>
      <c r="CF27" s="226"/>
      <c r="CG27" s="226"/>
      <c r="CH27" s="226"/>
      <c r="CI27" s="226"/>
      <c r="CJ27" s="226"/>
      <c r="CK27" s="226"/>
      <c r="CL27" s="226"/>
      <c r="CM27" s="226"/>
      <c r="CN27" s="226"/>
      <c r="CO27" s="226"/>
      <c r="CP27" s="226"/>
      <c r="CQ27" s="226"/>
      <c r="CR27" s="226"/>
      <c r="CS27" s="226"/>
      <c r="CT27" s="226"/>
      <c r="CU27" s="226"/>
      <c r="CV27" s="226"/>
      <c r="CW27" s="226"/>
      <c r="CX27" s="226"/>
      <c r="CY27" s="226"/>
      <c r="CZ27" s="226"/>
      <c r="DA27" s="226"/>
      <c r="DB27" s="226"/>
      <c r="DC27" s="226"/>
      <c r="DD27" s="226"/>
      <c r="DE27" s="226"/>
      <c r="DF27" s="226"/>
      <c r="DG27" s="226"/>
      <c r="DH27" s="226"/>
      <c r="DI27" s="226"/>
      <c r="DJ27" s="226"/>
      <c r="DK27" s="226"/>
      <c r="DL27" s="226"/>
      <c r="DM27" s="226"/>
      <c r="DN27" s="226"/>
      <c r="DO27" s="226"/>
      <c r="DP27" s="226"/>
      <c r="DQ27" s="226"/>
    </row>
    <row r="28" spans="1:121 8834:8834">
      <c r="A28" s="220"/>
      <c r="B28" s="220"/>
      <c r="C28" s="220"/>
      <c r="D28" s="286"/>
      <c r="E28" s="304">
        <f ca="1">COUNTIF(AA6:AA9,"&lt;100")+COUNTIF(AA14:AA17,"&lt;100")+COUNTIF(AA22:AA25,"&lt;100")</f>
        <v>0</v>
      </c>
      <c r="F28" s="436" t="str">
        <f ca="1">CONCATENATE("¡EN LA FASE DE GRUPOS HAY EMPATES EN EL GRUPO ,",IF(COUNTIF(AA6:AA9,"&lt;100")=0,"","A, "),IF(COUNTIF(AA14:AA17,"&lt;100")=0,"","B,"),IF(COUNTIF(AA22:AA25,"&lt;100")=0,"","C "),"!")</f>
        <v>¡EN LA FASE DE GRUPOS HAY EMPATES EN EL GRUPO ,!</v>
      </c>
      <c r="G28" s="436"/>
      <c r="H28" s="436"/>
      <c r="I28" s="436"/>
      <c r="J28" s="436"/>
      <c r="K28" s="436"/>
      <c r="L28" s="436"/>
      <c r="M28" s="436"/>
      <c r="N28" s="436"/>
      <c r="O28" s="436"/>
      <c r="P28" s="436"/>
      <c r="Q28" s="436"/>
      <c r="R28" s="436"/>
      <c r="S28" s="436"/>
      <c r="T28" s="436"/>
      <c r="U28" s="436"/>
      <c r="V28" s="436"/>
      <c r="W28" s="436"/>
      <c r="X28" s="436"/>
      <c r="Y28" s="436"/>
      <c r="Z28" s="436"/>
      <c r="AA28" s="305"/>
      <c r="AB28" s="305"/>
      <c r="AC28" s="305"/>
      <c r="AD28" s="305"/>
      <c r="AE28" s="305"/>
      <c r="AF28" s="241"/>
      <c r="AG28" s="227"/>
      <c r="AH28" s="227"/>
      <c r="AI28" s="227"/>
      <c r="AJ28" s="227"/>
      <c r="AK28" s="227"/>
      <c r="AL28" s="227"/>
      <c r="AM28" s="227"/>
      <c r="AN28" s="227"/>
      <c r="AO28" s="227"/>
      <c r="AP28" s="227"/>
      <c r="AQ28" s="227"/>
      <c r="AR28" s="227"/>
      <c r="AS28" s="227"/>
      <c r="AT28" s="226"/>
      <c r="AU28" s="226"/>
      <c r="AV28" s="226"/>
      <c r="AW28" s="226"/>
      <c r="AX28" s="226"/>
      <c r="AY28" s="232"/>
      <c r="AZ28" s="226"/>
      <c r="BA28" s="226"/>
      <c r="BB28" s="233"/>
      <c r="BC28" s="233"/>
      <c r="BD28" s="233"/>
      <c r="BE28" s="233"/>
      <c r="BF28" s="233"/>
      <c r="BG28" s="233"/>
      <c r="BH28" s="233"/>
      <c r="BI28" s="233"/>
      <c r="BJ28" s="233"/>
      <c r="BK28" s="233"/>
      <c r="BL28" s="233"/>
      <c r="BM28" s="233"/>
      <c r="BN28" s="227"/>
      <c r="BO28" s="227"/>
      <c r="BP28" s="227"/>
      <c r="BQ28" s="227"/>
      <c r="BR28" s="227"/>
      <c r="BS28" s="227"/>
      <c r="BT28" s="227"/>
      <c r="BU28" s="227"/>
      <c r="BV28" s="227"/>
      <c r="BW28" s="227"/>
      <c r="BX28" s="227"/>
      <c r="BY28" s="227"/>
      <c r="BZ28" s="227"/>
      <c r="CA28" s="227"/>
      <c r="CB28" s="226"/>
      <c r="CC28" s="226"/>
      <c r="CD28" s="226"/>
      <c r="CE28" s="226"/>
      <c r="CF28" s="226"/>
      <c r="CG28" s="226"/>
      <c r="CH28" s="226"/>
      <c r="CI28" s="226"/>
      <c r="CJ28" s="226"/>
      <c r="CK28" s="226"/>
      <c r="CL28" s="226"/>
      <c r="CM28" s="226"/>
      <c r="CN28" s="226"/>
      <c r="CO28" s="226"/>
      <c r="CP28" s="226"/>
      <c r="CQ28" s="226"/>
      <c r="CR28" s="226"/>
      <c r="CS28" s="226"/>
      <c r="CT28" s="226"/>
      <c r="CU28" s="226"/>
      <c r="CV28" s="226"/>
      <c r="CW28" s="226"/>
      <c r="CX28" s="226"/>
      <c r="CY28" s="226"/>
      <c r="CZ28" s="226"/>
      <c r="DA28" s="226"/>
      <c r="DB28" s="226"/>
      <c r="DC28" s="226"/>
      <c r="DD28" s="226"/>
      <c r="DE28" s="226"/>
      <c r="DF28" s="226"/>
      <c r="DG28" s="226"/>
      <c r="DH28" s="226"/>
      <c r="DI28" s="226"/>
      <c r="DJ28" s="226"/>
      <c r="DK28" s="226"/>
      <c r="DL28" s="226"/>
      <c r="DM28" s="226"/>
      <c r="DN28" s="226"/>
      <c r="DO28" s="226"/>
      <c r="DP28" s="226"/>
      <c r="DQ28" s="226"/>
    </row>
    <row r="29" spans="1:121 8834:8834" ht="27.75" customHeight="1">
      <c r="A29" s="220"/>
      <c r="B29" s="220"/>
      <c r="C29" s="220"/>
      <c r="D29" s="286"/>
      <c r="E29" s="306"/>
      <c r="F29" s="437" t="str">
        <f ca="1">CONCATENATE("En el grupo ",IF(COUNTIF(AA6:AA9,"&lt;100")=0,"","A, "),IF(COUNTIF(AA14:AA17,"&lt;100")=0,"","B, "),IF(COUNTIF(AA22:AA25,"&lt;100")=0,"","C, ")," hay selecciones igualadas en puntos, goles y golaveraje (marcados con un signo de exclamación amarillo). Si el orden no es correcto, selecciona a la derecha del grupo el orden de las selecciones empatadas.")</f>
        <v>En el grupo  hay selecciones igualadas en puntos, goles y golaveraje (marcados con un signo de exclamación amarillo). Si el orden no es correcto, selecciona a la derecha del grupo el orden de las selecciones empatadas.</v>
      </c>
      <c r="G29" s="437"/>
      <c r="H29" s="437"/>
      <c r="I29" s="437"/>
      <c r="J29" s="437"/>
      <c r="K29" s="437"/>
      <c r="L29" s="437"/>
      <c r="M29" s="437"/>
      <c r="N29" s="437"/>
      <c r="O29" s="437"/>
      <c r="P29" s="437"/>
      <c r="Q29" s="437"/>
      <c r="R29" s="437"/>
      <c r="S29" s="437"/>
      <c r="T29" s="437"/>
      <c r="U29" s="437"/>
      <c r="V29" s="437"/>
      <c r="W29" s="437"/>
      <c r="X29" s="437"/>
      <c r="Y29" s="437"/>
      <c r="Z29" s="437"/>
      <c r="AA29" s="305"/>
      <c r="AB29" s="305"/>
      <c r="AC29" s="305"/>
      <c r="AD29" s="305"/>
      <c r="AE29" s="305"/>
      <c r="AF29" s="225"/>
      <c r="AG29" s="227"/>
      <c r="AH29" s="227"/>
      <c r="AI29" s="227"/>
      <c r="AJ29" s="227"/>
      <c r="AK29" s="227"/>
      <c r="AL29" s="227"/>
      <c r="AM29" s="227"/>
      <c r="AN29" s="227"/>
      <c r="AO29" s="227"/>
      <c r="AP29" s="227"/>
      <c r="AQ29" s="227"/>
      <c r="AR29" s="227"/>
      <c r="AS29" s="227"/>
      <c r="AT29" s="226"/>
      <c r="AU29" s="226"/>
      <c r="AV29" s="226"/>
      <c r="AW29" s="226"/>
      <c r="AX29" s="226"/>
      <c r="AY29" s="232"/>
      <c r="AZ29" s="226"/>
      <c r="BA29" s="226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27"/>
      <c r="BO29" s="227"/>
      <c r="BP29" s="227"/>
      <c r="BQ29" s="227"/>
      <c r="BR29" s="227"/>
      <c r="BS29" s="227"/>
      <c r="BT29" s="227"/>
      <c r="BU29" s="227"/>
      <c r="BV29" s="227"/>
      <c r="BW29" s="227"/>
      <c r="BX29" s="227"/>
      <c r="BY29" s="227"/>
      <c r="BZ29" s="227"/>
      <c r="CA29" s="227"/>
      <c r="CB29" s="226"/>
      <c r="CC29" s="226"/>
      <c r="CD29" s="226"/>
      <c r="CE29" s="226"/>
      <c r="CF29" s="226"/>
      <c r="CG29" s="226"/>
      <c r="CH29" s="226"/>
      <c r="CI29" s="226"/>
      <c r="CJ29" s="226"/>
      <c r="CK29" s="226"/>
      <c r="CL29" s="226"/>
      <c r="CM29" s="226"/>
      <c r="CN29" s="226"/>
      <c r="CO29" s="226"/>
      <c r="CP29" s="226"/>
      <c r="CQ29" s="226"/>
      <c r="CR29" s="226"/>
      <c r="CS29" s="226"/>
      <c r="CT29" s="226"/>
      <c r="CU29" s="226"/>
      <c r="CV29" s="226"/>
      <c r="CW29" s="226"/>
      <c r="CX29" s="226"/>
      <c r="CY29" s="226"/>
      <c r="CZ29" s="226"/>
      <c r="DA29" s="226"/>
      <c r="DB29" s="226"/>
      <c r="DC29" s="226"/>
      <c r="DD29" s="226"/>
      <c r="DE29" s="226"/>
      <c r="DF29" s="226"/>
      <c r="DG29" s="226"/>
      <c r="DH29" s="226"/>
      <c r="DI29" s="226"/>
      <c r="DJ29" s="226"/>
      <c r="DK29" s="226"/>
      <c r="DL29" s="226"/>
      <c r="DM29" s="226"/>
      <c r="DN29" s="226"/>
      <c r="DO29" s="226"/>
      <c r="DP29" s="226"/>
      <c r="DQ29" s="226"/>
    </row>
    <row r="30" spans="1:121 8834:8834" ht="15" thickBot="1">
      <c r="A30" s="220"/>
      <c r="B30" s="220"/>
      <c r="C30" s="220"/>
      <c r="D30" s="286"/>
      <c r="E30" s="307"/>
      <c r="F30" s="308"/>
      <c r="G30" s="308"/>
      <c r="H30" s="309"/>
      <c r="I30" s="309"/>
      <c r="J30" s="309"/>
      <c r="K30" s="309"/>
      <c r="L30" s="309"/>
      <c r="M30" s="309"/>
      <c r="N30" s="309"/>
      <c r="O30" s="310"/>
      <c r="P30" s="310"/>
      <c r="Q30" s="310"/>
      <c r="R30" s="310"/>
      <c r="S30" s="310"/>
      <c r="T30" s="310"/>
      <c r="U30" s="310"/>
      <c r="V30" s="310"/>
      <c r="W30" s="310"/>
      <c r="X30" s="310"/>
      <c r="Y30" s="310"/>
      <c r="Z30" s="310"/>
      <c r="AA30" s="310"/>
      <c r="AB30" s="310"/>
      <c r="AC30" s="305"/>
      <c r="AD30" s="305"/>
      <c r="AE30" s="305"/>
      <c r="AF30" s="225"/>
      <c r="AG30" s="227"/>
      <c r="AH30" s="227"/>
      <c r="AI30" s="227"/>
      <c r="AJ30" s="227"/>
      <c r="AK30" s="227"/>
      <c r="AL30" s="227"/>
      <c r="AM30" s="227"/>
      <c r="AN30" s="227"/>
      <c r="AO30" s="227"/>
      <c r="AP30" s="227"/>
      <c r="AQ30" s="227"/>
      <c r="AR30" s="227"/>
      <c r="AS30" s="227"/>
      <c r="AT30" s="226"/>
      <c r="AU30" s="226"/>
      <c r="AV30" s="226"/>
      <c r="AW30" s="227"/>
      <c r="AX30" s="226"/>
      <c r="AY30" s="232"/>
      <c r="AZ30" s="226"/>
      <c r="BA30" s="226"/>
      <c r="BB30" s="233"/>
      <c r="BC30" s="233"/>
      <c r="BD30" s="233"/>
      <c r="BE30" s="233"/>
      <c r="BF30" s="233"/>
      <c r="BG30" s="233"/>
      <c r="BH30" s="233"/>
      <c r="BI30" s="233"/>
      <c r="BJ30" s="233"/>
      <c r="BK30" s="233"/>
      <c r="BL30" s="233"/>
      <c r="BM30" s="233"/>
      <c r="BN30" s="227"/>
      <c r="BO30" s="227"/>
      <c r="BP30" s="227"/>
      <c r="BQ30" s="227"/>
      <c r="BR30" s="227"/>
      <c r="BS30" s="227"/>
      <c r="BT30" s="227"/>
      <c r="BU30" s="227"/>
      <c r="BV30" s="227"/>
      <c r="BW30" s="227"/>
      <c r="BX30" s="227"/>
      <c r="BY30" s="227"/>
      <c r="BZ30" s="227"/>
      <c r="CA30" s="227"/>
      <c r="CB30" s="226"/>
      <c r="CC30" s="226"/>
      <c r="CD30" s="225">
        <v>1</v>
      </c>
      <c r="CE30" s="225">
        <v>2</v>
      </c>
      <c r="CF30" s="225">
        <v>3</v>
      </c>
      <c r="CG30" s="225">
        <v>4</v>
      </c>
      <c r="CH30" s="225">
        <v>5</v>
      </c>
      <c r="CI30" s="225">
        <v>6</v>
      </c>
      <c r="CJ30" s="225">
        <v>7</v>
      </c>
      <c r="CK30" s="225">
        <v>8</v>
      </c>
      <c r="CL30" s="225">
        <v>9</v>
      </c>
      <c r="CM30" s="225">
        <v>10</v>
      </c>
      <c r="CN30" s="225">
        <v>11</v>
      </c>
      <c r="CO30" s="226"/>
      <c r="CP30" s="226"/>
      <c r="CQ30" s="226"/>
      <c r="CR30" s="226"/>
      <c r="CS30" s="226"/>
      <c r="CT30" s="226"/>
      <c r="CU30" s="226"/>
      <c r="CV30" s="226"/>
      <c r="CW30" s="226"/>
      <c r="CX30" s="226"/>
      <c r="CY30" s="226"/>
      <c r="CZ30" s="226"/>
      <c r="DA30" s="226"/>
      <c r="DB30" s="226"/>
      <c r="DC30" s="226"/>
      <c r="DD30" s="226"/>
      <c r="DE30" s="226"/>
      <c r="DF30" s="227" t="s">
        <v>55</v>
      </c>
      <c r="DG30" s="227" t="s">
        <v>56</v>
      </c>
      <c r="DH30" s="227" t="s">
        <v>58</v>
      </c>
      <c r="DI30" s="227" t="s">
        <v>59</v>
      </c>
      <c r="DJ30" s="227" t="s">
        <v>60</v>
      </c>
      <c r="DK30" s="227" t="s">
        <v>61</v>
      </c>
      <c r="DL30" s="226"/>
      <c r="DM30" s="226"/>
      <c r="DN30" s="226"/>
      <c r="DO30" s="226"/>
      <c r="DP30" s="226"/>
      <c r="DQ30" s="226"/>
      <c r="MAT30" s="7" t="s">
        <v>20</v>
      </c>
    </row>
    <row r="31" spans="1:121 8834:8834" ht="16" customHeight="1">
      <c r="A31" s="220"/>
      <c r="B31" s="220"/>
      <c r="C31" s="220"/>
      <c r="D31" s="286"/>
      <c r="E31" s="358" t="s">
        <v>168</v>
      </c>
      <c r="F31" s="359"/>
      <c r="G31" s="359"/>
      <c r="H31" s="359"/>
      <c r="I31" s="359"/>
      <c r="J31" s="359"/>
      <c r="K31" s="359"/>
      <c r="L31" s="359"/>
      <c r="M31" s="359"/>
      <c r="N31" s="360"/>
      <c r="O31" s="310"/>
      <c r="P31" s="434" t="s">
        <v>80</v>
      </c>
      <c r="Q31" s="434"/>
      <c r="R31" s="434"/>
      <c r="S31" s="310"/>
      <c r="T31" s="310"/>
      <c r="U31" s="310"/>
      <c r="V31" s="310"/>
      <c r="W31" s="310"/>
      <c r="X31" s="310"/>
      <c r="Y31" s="310"/>
      <c r="Z31" s="310"/>
      <c r="AA31" s="310"/>
      <c r="AB31" s="310"/>
      <c r="AC31" s="310"/>
      <c r="AD31" s="310"/>
      <c r="AE31" s="305"/>
      <c r="AF31" s="225"/>
      <c r="AG31" s="227"/>
      <c r="AH31" s="226" t="s">
        <v>97</v>
      </c>
      <c r="AI31" s="226"/>
      <c r="AJ31" s="226"/>
      <c r="AK31" s="226"/>
      <c r="AL31" s="226"/>
      <c r="AM31" s="226"/>
      <c r="AN31" s="226"/>
      <c r="AO31" s="226"/>
      <c r="AP31" s="226"/>
      <c r="AQ31" s="226"/>
      <c r="AR31" s="226"/>
      <c r="AS31" s="226"/>
      <c r="AT31" s="226"/>
      <c r="AU31" s="226" t="s">
        <v>52</v>
      </c>
      <c r="AV31" s="226"/>
      <c r="AW31" s="225" t="s">
        <v>99</v>
      </c>
      <c r="AX31" s="225" t="s">
        <v>100</v>
      </c>
      <c r="AY31" s="225" t="s">
        <v>101</v>
      </c>
      <c r="AZ31" s="242" t="s">
        <v>102</v>
      </c>
      <c r="BA31" s="235" t="s">
        <v>0</v>
      </c>
      <c r="BB31" s="235" t="s">
        <v>1</v>
      </c>
      <c r="BC31" s="227"/>
      <c r="BD31" s="233"/>
      <c r="BE31" s="235"/>
      <c r="BF31" s="235"/>
      <c r="BG31" s="233"/>
      <c r="BH31" s="233"/>
      <c r="BI31" s="233"/>
      <c r="BJ31" s="233"/>
      <c r="BK31" s="233"/>
      <c r="BL31" s="233"/>
      <c r="BM31" s="233"/>
      <c r="BN31" s="227"/>
      <c r="BO31" s="227"/>
      <c r="BP31" s="227"/>
      <c r="BQ31" s="227"/>
      <c r="BR31" s="227"/>
      <c r="BS31" s="227"/>
      <c r="BT31" s="227"/>
      <c r="BU31" s="227"/>
      <c r="BV31" s="227"/>
      <c r="BW31" s="227"/>
      <c r="BX31" s="227"/>
      <c r="BY31" s="227"/>
      <c r="BZ31" s="227"/>
      <c r="CA31" s="227"/>
      <c r="CB31" s="226" t="s">
        <v>77</v>
      </c>
      <c r="CC31" s="226" t="s">
        <v>78</v>
      </c>
      <c r="CD31" s="226">
        <f ca="1">SUM(CD33:CD35)</f>
        <v>0</v>
      </c>
      <c r="CE31" s="226">
        <f t="shared" ref="CE31:CN31" ca="1" si="26">SUM(CE33:CE35)</f>
        <v>0</v>
      </c>
      <c r="CF31" s="226">
        <f t="shared" ca="1" si="26"/>
        <v>0</v>
      </c>
      <c r="CG31" s="226">
        <f t="shared" ca="1" si="26"/>
        <v>0</v>
      </c>
      <c r="CH31" s="226">
        <f t="shared" ca="1" si="26"/>
        <v>0</v>
      </c>
      <c r="CI31" s="226">
        <f t="shared" ca="1" si="26"/>
        <v>0</v>
      </c>
      <c r="CJ31" s="226">
        <f t="shared" ca="1" si="26"/>
        <v>0</v>
      </c>
      <c r="CK31" s="226">
        <f t="shared" ca="1" si="26"/>
        <v>0</v>
      </c>
      <c r="CL31" s="226">
        <f t="shared" ca="1" si="26"/>
        <v>0</v>
      </c>
      <c r="CM31" s="226">
        <f t="shared" ca="1" si="26"/>
        <v>0</v>
      </c>
      <c r="CN31" s="226">
        <f t="shared" ca="1" si="26"/>
        <v>3</v>
      </c>
      <c r="CO31" s="226"/>
      <c r="CP31" s="226"/>
      <c r="CQ31" s="226"/>
      <c r="CR31" s="226"/>
      <c r="CS31" s="226"/>
      <c r="CT31" s="226"/>
      <c r="CU31" s="226"/>
      <c r="CV31" s="226"/>
      <c r="CW31" s="226"/>
      <c r="CX31" s="226"/>
      <c r="CY31" s="226"/>
      <c r="CZ31" s="226"/>
      <c r="DA31" s="226"/>
      <c r="DB31" s="226"/>
      <c r="DC31" s="226"/>
      <c r="DD31" s="226"/>
      <c r="DE31" s="226"/>
      <c r="DF31" s="227">
        <v>123</v>
      </c>
      <c r="DG31" s="227">
        <v>12</v>
      </c>
      <c r="DH31" s="227">
        <v>23</v>
      </c>
      <c r="DI31" s="227">
        <v>1</v>
      </c>
      <c r="DJ31" s="227">
        <v>2</v>
      </c>
      <c r="DK31" s="227">
        <v>3</v>
      </c>
      <c r="DL31" s="226"/>
      <c r="DM31" s="226"/>
      <c r="DN31" s="226"/>
      <c r="DO31" s="226"/>
      <c r="DP31" s="226"/>
      <c r="DQ31" s="226"/>
    </row>
    <row r="32" spans="1:121 8834:8834" ht="15" thickBot="1">
      <c r="A32" s="220"/>
      <c r="B32" s="220"/>
      <c r="C32" s="220"/>
      <c r="D32" s="286"/>
      <c r="E32" s="361" t="s">
        <v>19</v>
      </c>
      <c r="F32" s="362" t="s">
        <v>170</v>
      </c>
      <c r="G32" s="363" t="s">
        <v>89</v>
      </c>
      <c r="H32" s="363" t="s">
        <v>6</v>
      </c>
      <c r="I32" s="363" t="s">
        <v>7</v>
      </c>
      <c r="J32" s="363" t="s">
        <v>3</v>
      </c>
      <c r="K32" s="363" t="s">
        <v>8</v>
      </c>
      <c r="L32" s="363" t="s">
        <v>9</v>
      </c>
      <c r="M32" s="363" t="s">
        <v>10</v>
      </c>
      <c r="N32" s="364" t="s">
        <v>167</v>
      </c>
      <c r="O32" s="341">
        <f ca="1">COUNTIF(O33:O35,"&lt;100")</f>
        <v>0</v>
      </c>
      <c r="P32" s="434"/>
      <c r="Q32" s="434"/>
      <c r="R32" s="434"/>
      <c r="S32" s="310"/>
      <c r="T32" s="310"/>
      <c r="U32" s="310"/>
      <c r="V32" s="310"/>
      <c r="W32" s="310"/>
      <c r="X32" s="310"/>
      <c r="Y32" s="310"/>
      <c r="Z32" s="310"/>
      <c r="AA32" s="310"/>
      <c r="AB32" s="310"/>
      <c r="AC32" s="310"/>
      <c r="AD32" s="310"/>
      <c r="AE32" s="305"/>
      <c r="AF32" s="225"/>
      <c r="AG32" s="228" t="s">
        <v>52</v>
      </c>
      <c r="AH32" s="228" t="s">
        <v>14</v>
      </c>
      <c r="AI32" s="228" t="s">
        <v>5</v>
      </c>
      <c r="AJ32" s="228" t="s">
        <v>15</v>
      </c>
      <c r="AK32" s="228" t="s">
        <v>6</v>
      </c>
      <c r="AL32" s="228" t="s">
        <v>7</v>
      </c>
      <c r="AM32" s="228" t="s">
        <v>3</v>
      </c>
      <c r="AN32" s="228" t="s">
        <v>8</v>
      </c>
      <c r="AO32" s="228" t="s">
        <v>9</v>
      </c>
      <c r="AP32" s="228" t="s">
        <v>10</v>
      </c>
      <c r="AQ32" s="228" t="s">
        <v>12</v>
      </c>
      <c r="AR32" s="228" t="s">
        <v>16</v>
      </c>
      <c r="AS32" s="228" t="s">
        <v>14</v>
      </c>
      <c r="AT32" s="226"/>
      <c r="AU32" s="226"/>
      <c r="AV32" s="226"/>
      <c r="AW32" s="226"/>
      <c r="AX32" s="226"/>
      <c r="AY32" s="226" t="s">
        <v>103</v>
      </c>
      <c r="AZ32" s="243">
        <f ca="1">IF($AX$33=AY32,1,0)</f>
        <v>1</v>
      </c>
      <c r="BA32" s="233" t="str">
        <f ca="1">R16</f>
        <v>Paraguay</v>
      </c>
      <c r="BB32" s="233" t="str">
        <f ca="1">R8</f>
        <v>Perú</v>
      </c>
      <c r="BC32" s="227"/>
      <c r="BD32" s="233"/>
      <c r="BE32" s="233"/>
      <c r="BF32" s="233"/>
      <c r="BG32" s="233"/>
      <c r="BH32" s="233"/>
      <c r="BI32" s="233"/>
      <c r="BJ32" s="233"/>
      <c r="BK32" s="233"/>
      <c r="BL32" s="233"/>
      <c r="BM32" s="233"/>
      <c r="BN32" s="227"/>
      <c r="BO32" s="229"/>
      <c r="BP32" s="229" t="s">
        <v>53</v>
      </c>
      <c r="BQ32" s="229"/>
      <c r="BR32" s="229" t="s">
        <v>54</v>
      </c>
      <c r="BS32" s="229"/>
      <c r="BT32" s="227"/>
      <c r="BU32" s="229"/>
      <c r="BV32" s="229" t="s">
        <v>5</v>
      </c>
      <c r="BW32" s="229" t="s">
        <v>15</v>
      </c>
      <c r="BX32" s="229" t="s">
        <v>73</v>
      </c>
      <c r="BY32" s="229" t="s">
        <v>12</v>
      </c>
      <c r="BZ32" s="229" t="s">
        <v>74</v>
      </c>
      <c r="CA32" s="227"/>
      <c r="CB32" s="226"/>
      <c r="CC32" s="226" t="s">
        <v>79</v>
      </c>
      <c r="CD32" s="226" t="s">
        <v>57</v>
      </c>
      <c r="CE32" s="226" t="s">
        <v>66</v>
      </c>
      <c r="CF32" s="226" t="s">
        <v>67</v>
      </c>
      <c r="CG32" s="226" t="s">
        <v>67</v>
      </c>
      <c r="CH32" s="226" t="s">
        <v>66</v>
      </c>
      <c r="CI32" s="226" t="s">
        <v>68</v>
      </c>
      <c r="CJ32" s="226" t="s">
        <v>66</v>
      </c>
      <c r="CK32" s="226" t="s">
        <v>68</v>
      </c>
      <c r="CL32" s="226" t="s">
        <v>67</v>
      </c>
      <c r="CM32" s="226" t="s">
        <v>68</v>
      </c>
      <c r="CN32" s="226" t="s">
        <v>68</v>
      </c>
      <c r="CO32" s="226"/>
      <c r="CP32" s="226"/>
      <c r="CQ32" s="226"/>
      <c r="CR32" s="226"/>
      <c r="CS32" s="226"/>
      <c r="CT32" s="226"/>
      <c r="CU32" s="226"/>
      <c r="CV32" s="226"/>
      <c r="CW32" s="226"/>
      <c r="CX32" s="226"/>
      <c r="CY32" s="226"/>
      <c r="CZ32" s="226"/>
      <c r="DA32" s="226"/>
      <c r="DB32" s="226"/>
      <c r="DC32" s="226"/>
      <c r="DD32" s="226"/>
      <c r="DE32" s="226"/>
      <c r="DF32" s="227">
        <v>1</v>
      </c>
      <c r="DG32" s="227">
        <v>1</v>
      </c>
      <c r="DH32" s="227">
        <v>2</v>
      </c>
      <c r="DI32" s="227">
        <v>1</v>
      </c>
      <c r="DJ32" s="227">
        <v>2</v>
      </c>
      <c r="DK32" s="227">
        <v>3</v>
      </c>
      <c r="DL32" s="226"/>
      <c r="DM32" s="226"/>
      <c r="DN32" s="226"/>
      <c r="DO32" s="226"/>
      <c r="DP32" s="226"/>
      <c r="DQ32" s="226"/>
    </row>
    <row r="33" spans="1:121 2451:2451">
      <c r="A33" s="220" t="str">
        <f ca="1">R8</f>
        <v>Perú</v>
      </c>
      <c r="B33" s="220"/>
      <c r="C33" s="220"/>
      <c r="D33" s="286"/>
      <c r="E33" s="214">
        <v>1</v>
      </c>
      <c r="F33" s="215" t="str">
        <f ca="1">VLOOKUP(E33,$AG$33:$AI$35,3,0)</f>
        <v>Perú</v>
      </c>
      <c r="G33" s="216">
        <f ca="1">VLOOKUP(F33,$AI$33:$AR$35,2,FALSE)</f>
        <v>4</v>
      </c>
      <c r="H33" s="216">
        <f ca="1">VLOOKUP($F33,$AI$33:$AR$35,3,FALSE)</f>
        <v>3</v>
      </c>
      <c r="I33" s="216">
        <f ca="1">VLOOKUP($F33,$AI$33:$AR$35,4,FALSE)</f>
        <v>1</v>
      </c>
      <c r="J33" s="216">
        <f ca="1">VLOOKUP($F33,$AI$33:$AR$35,5,FALSE)</f>
        <v>1</v>
      </c>
      <c r="K33" s="216">
        <f ca="1">VLOOKUP($F33,$AI$33:$AR$35,6,FALSE)</f>
        <v>1</v>
      </c>
      <c r="L33" s="216">
        <f ca="1">VLOOKUP($F33,$AI$33:$AR$35,7,FALSE)</f>
        <v>3</v>
      </c>
      <c r="M33" s="216">
        <f ca="1">VLOOKUP($F33,$AI$33:$AR$35,8,FALSE)</f>
        <v>6</v>
      </c>
      <c r="N33" s="217">
        <f ca="1">VLOOKUP($F33,$AI$33:$AR$35,9,FALSE)</f>
        <v>-3</v>
      </c>
      <c r="O33" s="297">
        <f ca="1">IF(SUM($AK$33:$AK$35)=9,MIN(ABS(BS32-BS33),ABS(BS33-BS34)),100)</f>
        <v>1980000000.03</v>
      </c>
      <c r="P33" s="345" t="str">
        <f ca="1">IF(AND(O33&gt;=0,O33&lt;90),VLOOKUP(E33,$BO$33:$BP$35,2,0),"")</f>
        <v/>
      </c>
      <c r="Q33" s="355"/>
      <c r="R33" s="305"/>
      <c r="S33" s="310"/>
      <c r="T33" s="310"/>
      <c r="U33" s="310"/>
      <c r="V33" s="310"/>
      <c r="W33" s="310"/>
      <c r="X33" s="310"/>
      <c r="Y33" s="310"/>
      <c r="Z33" s="310"/>
      <c r="AA33" s="310"/>
      <c r="AB33" s="310"/>
      <c r="AC33" s="310"/>
      <c r="AD33" s="310"/>
      <c r="AE33" s="305"/>
      <c r="AF33" s="225">
        <f ca="1">VLOOKUP($F33,$AI$33:$AR$35,10,FALSE)</f>
        <v>3970310999.96</v>
      </c>
      <c r="AG33" s="226">
        <f ca="1">RANK(AU33,$AU$33:$AU$35)</f>
        <v>1</v>
      </c>
      <c r="AH33" s="226">
        <f ca="1">RANK(AR33,$AR$33:$AR$35)</f>
        <v>1</v>
      </c>
      <c r="AI33" s="227" t="str">
        <f ca="1">IF(SUM($AK$6:$AK$9)=12,VLOOKUP(3,$AG$6:$AI$9,3,0),"3A")</f>
        <v>Perú</v>
      </c>
      <c r="AJ33" s="227">
        <f ca="1">IF(SUM($AK$6:$AK$9)=12,VLOOKUP(3,$AG$6:$AR$9,4,0),"3A")</f>
        <v>4</v>
      </c>
      <c r="AK33" s="227">
        <f ca="1">IF(SUM($AK$6:$AK$9)=12,VLOOKUP(3,$AG$6:$AR$9,5,0),"3A")</f>
        <v>3</v>
      </c>
      <c r="AL33" s="227">
        <f ca="1">IF(SUM($AK$6:$AK$9)=12,VLOOKUP(3,$AG$6:$AR$9,6,0),"3A")</f>
        <v>1</v>
      </c>
      <c r="AM33" s="227">
        <f ca="1">IF(SUM($AK$6:$AK$9)=12,VLOOKUP(3,$AG$6:$AR$9,7,0),"3A")</f>
        <v>1</v>
      </c>
      <c r="AN33" s="227">
        <f ca="1">IF(SUM($AK$6:$AK$9)=12,VLOOKUP(3,$AG$6:$AR$9,8,0),"3A")</f>
        <v>1</v>
      </c>
      <c r="AO33" s="227">
        <f ca="1">IF(SUM($AK$6:$AK$9)=12,VLOOKUP(3,$AG$6:$AR$9,9,0),"3A")</f>
        <v>3</v>
      </c>
      <c r="AP33" s="227">
        <f ca="1">IF(SUM($AK$6:$AK$9)=12,VLOOKUP(3,$AG$6:$AR$9,10,0),"3A")</f>
        <v>6</v>
      </c>
      <c r="AQ33" s="227">
        <f ca="1">IF(SUM($AK$6:$AK$9)=12,VLOOKUP(3,$AG$6:$AR$9,11,0),"3A")</f>
        <v>-3</v>
      </c>
      <c r="AR33" s="226">
        <f ca="1">IF(SUM($AK$6:$AK$9)=12,VLOOKUP(3,$AG$6:$AR$9,12,0),3)</f>
        <v>3970310999.96</v>
      </c>
      <c r="AS33" s="226">
        <f ca="1">AH33</f>
        <v>1</v>
      </c>
      <c r="AT33" s="226"/>
      <c r="AU33" s="226">
        <f ca="1">IFERROR(AR33-VLOOKUP(AI33,$P$33:$Q$35,2,0),AR33)</f>
        <v>3970310999.96</v>
      </c>
      <c r="AV33" s="226"/>
      <c r="AW33" s="226" t="str">
        <f ca="1">IF(COUNTIF($A$5:$A$8,F33)&gt;0,$B$4,IF(COUNTIF($A$13:$A$16,F33)&gt;0,$B$12,IF(COUNTIF($A$21:$A$24,F33)&gt;0,$B$20,"NO")))</f>
        <v>A</v>
      </c>
      <c r="AX33" s="268" t="str">
        <f ca="1">CONCATENATE(AW33,AW34)</f>
        <v>AB</v>
      </c>
      <c r="AY33" s="226" t="s">
        <v>104</v>
      </c>
      <c r="AZ33" s="243">
        <f t="shared" ref="AZ33:AZ35" ca="1" si="27">IF($AX$33=AY33,1,0)</f>
        <v>0</v>
      </c>
      <c r="BA33" s="233" t="str">
        <f ca="1">R24</f>
        <v>Ecuador</v>
      </c>
      <c r="BB33" s="233" t="str">
        <f ca="1">R8</f>
        <v>Perú</v>
      </c>
      <c r="BC33" s="227"/>
      <c r="BD33" s="233"/>
      <c r="BE33" s="233"/>
      <c r="BF33" s="233"/>
      <c r="BG33" s="233"/>
      <c r="BH33" s="233"/>
      <c r="BI33" s="233"/>
      <c r="BJ33" s="233"/>
      <c r="BK33" s="233"/>
      <c r="BL33" s="233"/>
      <c r="BM33" s="233"/>
      <c r="BN33" s="227">
        <v>1</v>
      </c>
      <c r="BO33" s="227">
        <f ca="1">RANK(BQ33,$BQ$33:$BQ$35)</f>
        <v>1</v>
      </c>
      <c r="BP33" s="227" t="str">
        <f ca="1">A33</f>
        <v>Perú</v>
      </c>
      <c r="BQ33" s="226">
        <f ca="1">IF(SUM($AK$6:$AK$9)=12,VLOOKUP(3,$AG$6:$AR$9,12,0),"3A")</f>
        <v>3970310999.96</v>
      </c>
      <c r="BR33" s="227" t="str">
        <f ca="1">VLOOKUP(E33,$AH$33:$AI$35,2,0)</f>
        <v>Perú</v>
      </c>
      <c r="BS33" s="227">
        <f ca="1">VLOOKUP($BR33,$AI$33:$AR$35,10,FALSE)</f>
        <v>3970310999.96</v>
      </c>
      <c r="BT33" s="227"/>
      <c r="BU33" s="227">
        <v>1</v>
      </c>
      <c r="BV33" s="227" t="str">
        <f ca="1">VLOOKUP(BU33,$AH$33:$AI$35,2,0)</f>
        <v>Perú</v>
      </c>
      <c r="BW33" s="227">
        <f ca="1">VLOOKUP(BV33,$AI$33:$AR$35,2,FALSE)</f>
        <v>4</v>
      </c>
      <c r="BX33" s="234">
        <f ca="1">IF(SUM($AK$22:$AK$25)=12,MIN(ABS(BS32-BS33),ABS(BS33-BS34)),100)</f>
        <v>1980000000.03</v>
      </c>
      <c r="BY33" s="227">
        <f ca="1">VLOOKUP($BV33,$AI$33:$AR$35,9,FALSE)</f>
        <v>-3</v>
      </c>
      <c r="BZ33" s="227">
        <f ca="1">VLOOKUP($BV33,$AI$33:$AR$35,7,FALSE)</f>
        <v>3</v>
      </c>
      <c r="CA33" s="227">
        <f t="array" aca="1" ref="CA33" ca="1">IF($CB$33=$CD$32,$DF$32:$DF$34,IF($CB$33=$CE$32,$DG$32:$DG$33,$DI$32))</f>
        <v>1</v>
      </c>
      <c r="CB33" s="226" t="str">
        <f ca="1">IFERROR(HLOOKUP(3,CD31:CN32,2,0),CI32)</f>
        <v>COM_4</v>
      </c>
      <c r="CC33" s="226">
        <v>1</v>
      </c>
      <c r="CD33" s="226">
        <f t="array" aca="1" ref="CD33" ca="1">IF(AND($BW$33:$BW$35=BW33,$BX$33:$BX$35&lt;90,$BY$33:$BY$35=$BY$33,$BZ$33:$BZ$35=$BZ$33),1,0)</f>
        <v>0</v>
      </c>
      <c r="CE33" s="226">
        <f t="array" aca="1" ref="CE33" ca="1">IF(AND($BW$33:$BW$35=BW33,$BX$33:$BX$35&lt;90,$BY$33:$BY$35=$BY$33,$BZ$33:$BZ$34=$BZ$33,$BZ$33&lt;&gt;$BZ$35),1,0)</f>
        <v>0</v>
      </c>
      <c r="CF33" s="226">
        <f t="array" aca="1" ref="CF33" ca="1">IF(AND($BW$33:$BW$35=BW33,$BX$33:$BX$35&lt;90,$BY$33:$BY$35=$BY$33,$BZ$34:$BZ$35&lt;&gt;$BZ$33),1,0)</f>
        <v>0</v>
      </c>
      <c r="CG33" s="226">
        <f t="array" aca="1" ref="CG33" ca="1">IF(AND($BW$33:$BW$35=BW33,$BX$34:$BX$35&lt;90,$BX$33&lt;&gt;$BX$34),1,0)</f>
        <v>0</v>
      </c>
      <c r="CH33" s="226">
        <f t="array" aca="1" ref="CH33" ca="1">IF(AND($BW$33:$BW$35=BW33,$BX$33:$BX$34&lt;90,$BX$33&lt;&gt;$BX$35),1,0)</f>
        <v>0</v>
      </c>
      <c r="CI33" s="226">
        <f t="array" aca="1" ref="CI33" ca="1">IF(AND($BW$33:$BW$35=BW33,$BX$33:$BX$35&gt;90),1,0)</f>
        <v>0</v>
      </c>
      <c r="CJ33" s="226">
        <f t="array" aca="1" ref="CJ33" ca="1">IF(AND($BW$33:$BW$34=BW33,$BX$33:$BX$34&lt;90,BX35&gt;90,$BY$33:$BY$34=BY33,$BZ$33:$BZ$34=BZ33),1,0)</f>
        <v>0</v>
      </c>
      <c r="CK33" s="226">
        <f t="array" aca="1" ref="CK33" ca="1">IF(AND($BW$33:$BW$34=BW33,$BX$33:$BX$34&lt;90,BX35&gt;90,$BY$33:$BY$34=BY33,$BZ$33&gt;$BZ$34),1,0)</f>
        <v>0</v>
      </c>
      <c r="CL33" s="226">
        <f t="array" aca="1" ref="CL33" ca="1">IF(AND($BW$33&gt;$BW$34,$BW$34=$BW$35,BX33&gt;90,$BX$34:$BX$35&lt;90),1,0)</f>
        <v>0</v>
      </c>
      <c r="CM33" s="226">
        <f t="array" aca="1" ref="CM33" ca="1">IF(AND($BW$33&gt;$BW$34,$BW$34=$BW$35,BX33&gt;90,$BX$34:$BX$35&lt;90),1,0)</f>
        <v>0</v>
      </c>
      <c r="CN33" s="226">
        <f t="array" aca="1" ref="CN33" ca="1">IF(AND($BW$33&lt;&gt;$BW$34,$BW$33&lt;&gt;$BW$35),1,0)</f>
        <v>1</v>
      </c>
      <c r="CO33" s="226"/>
      <c r="CP33" s="226"/>
      <c r="CQ33" s="226"/>
      <c r="CR33" s="226"/>
      <c r="CS33" s="226"/>
      <c r="CT33" s="226"/>
      <c r="CU33" s="226"/>
      <c r="CV33" s="226"/>
      <c r="CW33" s="226"/>
      <c r="CX33" s="226"/>
      <c r="CY33" s="226"/>
      <c r="CZ33" s="226"/>
      <c r="DA33" s="226"/>
      <c r="DB33" s="226"/>
      <c r="DC33" s="226"/>
      <c r="DD33" s="226"/>
      <c r="DE33" s="226"/>
      <c r="DF33" s="227">
        <v>2</v>
      </c>
      <c r="DG33" s="227">
        <v>2</v>
      </c>
      <c r="DH33" s="227">
        <v>3</v>
      </c>
      <c r="DI33" s="227"/>
      <c r="DJ33" s="227"/>
      <c r="DK33" s="227"/>
      <c r="DL33" s="226"/>
      <c r="DM33" s="226"/>
      <c r="DN33" s="226"/>
      <c r="DO33" s="226"/>
      <c r="DP33" s="226"/>
      <c r="DQ33" s="226"/>
    </row>
    <row r="34" spans="1:121 2451:2451">
      <c r="A34" s="220" t="str">
        <f ca="1">R16</f>
        <v>Paraguay</v>
      </c>
      <c r="B34" s="220"/>
      <c r="C34" s="220"/>
      <c r="D34" s="286"/>
      <c r="E34" s="218">
        <v>2</v>
      </c>
      <c r="F34" s="9" t="str">
        <f ca="1">VLOOKUP(E34,$AG$33:$AI$35,3,0)</f>
        <v>Paraguay</v>
      </c>
      <c r="G34" s="8">
        <f ca="1">VLOOKUP(F34,$AI$33:$AR$35,2,FALSE)</f>
        <v>2</v>
      </c>
      <c r="H34" s="8">
        <f ca="1">VLOOKUP($F34,$AI$33:$AR$35,3,FALSE)</f>
        <v>3</v>
      </c>
      <c r="I34" s="8">
        <f ca="1">VLOOKUP($F34,$AI$33:$AR$35,4,FALSE)</f>
        <v>0</v>
      </c>
      <c r="J34" s="8">
        <f ca="1">VLOOKUP($F34,$AI$33:$AR$35,5,FALSE)</f>
        <v>2</v>
      </c>
      <c r="K34" s="8">
        <f ca="1">VLOOKUP($F34,$AI$33:$AR$35,6,FALSE)</f>
        <v>1</v>
      </c>
      <c r="L34" s="8">
        <f ca="1">VLOOKUP($F34,$AI$33:$AR$35,7,FALSE)</f>
        <v>3</v>
      </c>
      <c r="M34" s="8">
        <f ca="1">VLOOKUP($F34,$AI$33:$AR$35,8,FALSE)</f>
        <v>4</v>
      </c>
      <c r="N34" s="219">
        <f ca="1">VLOOKUP($F34,$AI$33:$AR$35,9,FALSE)</f>
        <v>-1</v>
      </c>
      <c r="O34" s="297">
        <f ca="1">IF(SUM($AK$33:$AK$35)=9,MIN(ABS(BS33-BS34),ABS(BS34-BS35)),100)</f>
        <v>1040100000.0300001</v>
      </c>
      <c r="P34" s="345" t="str">
        <f ca="1">IF(AND(O34&gt;=0,O34&lt;90),VLOOKUP(E34,$BO$33:$BP$35,2,0),"")</f>
        <v/>
      </c>
      <c r="Q34" s="355"/>
      <c r="R34" s="305"/>
      <c r="S34" s="310"/>
      <c r="T34" s="310"/>
      <c r="U34" s="310"/>
      <c r="V34" s="310"/>
      <c r="W34" s="310"/>
      <c r="X34" s="310"/>
      <c r="Y34" s="310"/>
      <c r="Z34" s="310"/>
      <c r="AA34" s="310"/>
      <c r="AB34" s="310"/>
      <c r="AC34" s="310"/>
      <c r="AD34" s="310"/>
      <c r="AE34" s="305"/>
      <c r="AF34" s="225">
        <f ca="1">VLOOKUP($F34,$AI$33:$AR$35,10,FALSE)</f>
        <v>1990310999.9300001</v>
      </c>
      <c r="AG34" s="226">
        <f ca="1">RANK(AU34,$AU$33:$AU$35)</f>
        <v>2</v>
      </c>
      <c r="AH34" s="226">
        <f ca="1">RANK(AR34,$AR$33:$AR$35)</f>
        <v>2</v>
      </c>
      <c r="AI34" s="227" t="str">
        <f ca="1">IF(SUM($AK$14:$AK$17)=12,VLOOKUP(3,$AG$14:$AI$17,3,0),"3B")</f>
        <v>Paraguay</v>
      </c>
      <c r="AJ34" s="227">
        <f ca="1">IF(SUM($AK$14:$AK$17)=12,VLOOKUP(3,$AG$14:$AR$17,4,0),"3B")</f>
        <v>2</v>
      </c>
      <c r="AK34" s="227">
        <f ca="1">IF(SUM($AK$14:$AK$17)=12,VLOOKUP(3,$AG$14:$AR$17,5,0),"3B")</f>
        <v>3</v>
      </c>
      <c r="AL34" s="227">
        <f ca="1">IF(SUM($AK$14:$AK$17)=12,VLOOKUP(3,$AG$14:$AR$17,6,0),"3B")</f>
        <v>0</v>
      </c>
      <c r="AM34" s="227">
        <f ca="1">IF(SUM($AK$14:$AK$17)=12,VLOOKUP(3,$AG$14:$AR$17,7,0),"3B")</f>
        <v>2</v>
      </c>
      <c r="AN34" s="227">
        <f ca="1">IF(SUM($AK$14:$AK$17)=12,VLOOKUP(3,$AG$14:$AR$17,8,0),"3B")</f>
        <v>1</v>
      </c>
      <c r="AO34" s="227">
        <f ca="1">IF(SUM($AK$14:$AK$17)=12,VLOOKUP(3,$AG$14:$AR$17,9,0),"3B")</f>
        <v>3</v>
      </c>
      <c r="AP34" s="227">
        <f ca="1">IF(SUM($AK$14:$AK$17)=12,VLOOKUP(3,$AG$14:$AR$17,10,0),"3B")</f>
        <v>4</v>
      </c>
      <c r="AQ34" s="227">
        <f ca="1">IF(SUM($AK$14:$AK$17)=12,VLOOKUP(3,$AG$14:$AR$17,11,0),"3B")</f>
        <v>-1</v>
      </c>
      <c r="AR34" s="227">
        <f ca="1">IF(SUM($AK$14:$AK$17)=12,VLOOKUP(3,$AG$14:$AR$17,12,0),2)</f>
        <v>1990310999.9300001</v>
      </c>
      <c r="AS34" s="226">
        <f ca="1">AH34</f>
        <v>2</v>
      </c>
      <c r="AT34" s="226"/>
      <c r="AU34" s="226">
        <f ca="1">IFERROR(AR34-VLOOKUP(AI34,$P$33:$Q$35,2,0),AR34)</f>
        <v>1990310999.9300001</v>
      </c>
      <c r="AV34" s="226"/>
      <c r="AW34" s="226" t="str">
        <f ca="1">IF(COUNTIF($A$5:$A$8,F34)&gt;0,$B$4,IF(COUNTIF($A$13:$A$16,F34)&gt;0,$B$12,IF(COUNTIF($A$21:$A$24,F34)&gt;0,$B$20,"NO")))</f>
        <v>B</v>
      </c>
      <c r="AX34" s="226"/>
      <c r="AY34" s="226" t="s">
        <v>105</v>
      </c>
      <c r="AZ34" s="243">
        <f t="shared" ca="1" si="27"/>
        <v>0</v>
      </c>
      <c r="BA34" s="269" t="str">
        <f ca="1">R24</f>
        <v>Ecuador</v>
      </c>
      <c r="BB34" s="269" t="str">
        <f ca="1">R16</f>
        <v>Paraguay</v>
      </c>
      <c r="BC34" s="227"/>
      <c r="BD34" s="233"/>
      <c r="BE34" s="233"/>
      <c r="BF34" s="233"/>
      <c r="BG34" s="233"/>
      <c r="BH34" s="233"/>
      <c r="BI34" s="233"/>
      <c r="BJ34" s="233"/>
      <c r="BK34" s="233"/>
      <c r="BL34" s="233"/>
      <c r="BM34" s="233"/>
      <c r="BN34" s="227">
        <v>2</v>
      </c>
      <c r="BO34" s="227">
        <f ca="1">RANK(BQ34,$BQ$33:$BQ$35)</f>
        <v>2</v>
      </c>
      <c r="BP34" s="227" t="str">
        <f ca="1">A34</f>
        <v>Paraguay</v>
      </c>
      <c r="BQ34" s="227">
        <f ca="1">IF(SUM($AK$14:$AK$17)=12,VLOOKUP(3,$AG$14:$AR$17,12,0),"3B")</f>
        <v>1990310999.9300001</v>
      </c>
      <c r="BR34" s="227" t="str">
        <f ca="1">VLOOKUP(E34,$AH$33:$AI$35,2,0)</f>
        <v>Paraguay</v>
      </c>
      <c r="BS34" s="227">
        <f ca="1">VLOOKUP($BR34,$AI$33:$AR$35,10,FALSE)</f>
        <v>1990310999.9300001</v>
      </c>
      <c r="BT34" s="227"/>
      <c r="BU34" s="227">
        <v>2</v>
      </c>
      <c r="BV34" s="227" t="str">
        <f ca="1">VLOOKUP(BU34,$AH$33:$AI$35,2,0)</f>
        <v>Paraguay</v>
      </c>
      <c r="BW34" s="227">
        <f ca="1">VLOOKUP(BV34,$AI$33:$AR$35,2,FALSE)</f>
        <v>2</v>
      </c>
      <c r="BX34" s="234">
        <f ca="1">IF(SUM($AK$22:$AK$25)=12,MIN(ABS(BS33-BS34),ABS(BS34-BS35)),100)</f>
        <v>1040100000.0300001</v>
      </c>
      <c r="BY34" s="227">
        <f ca="1">VLOOKUP($BV34,$AI$33:$AR$35,9,FALSE)</f>
        <v>-1</v>
      </c>
      <c r="BZ34" s="227">
        <f ca="1">VLOOKUP($BV34,$AI$33:$AR$35,7,FALSE)</f>
        <v>3</v>
      </c>
      <c r="CA34" s="227">
        <f t="array" aca="1" ref="CA34" ca="1">IF($CB$33=$CD$32,$DF$32:$DF$34,IF($CB$33=$CE$32,$DG$32:$DG$33,IF($CB$33=$CF$32,$DH$32:$DH$33,$DJ$32)))</f>
        <v>2</v>
      </c>
      <c r="CB34" s="226"/>
      <c r="CC34" s="226">
        <v>2</v>
      </c>
      <c r="CD34" s="226">
        <f t="array" aca="1" ref="CD34" ca="1">IF(AND($BW$33:$BW$35=BW34,$BX$33:$BX$35&lt;90,$BY$33:$BY$35=$BY$34,$BZ$33:$BZ$35=$BZ$34),1,0)</f>
        <v>0</v>
      </c>
      <c r="CE34" s="226">
        <f t="array" aca="1" ref="CE34" ca="1">IF(AND($BW$33:$BW$35=BW34,$BX$33:$BX$35&lt;90,$BY$33:$BY$35=$BY$34,$BZ$33:$BZ$34=$BZ$34,$BZ$34&lt;&gt;$BZ$35),1,0)</f>
        <v>0</v>
      </c>
      <c r="CF34" s="226">
        <f t="array" aca="1" ref="CF34" ca="1">IF(AND($BW$33:$BW$35=BW34,$BX$33:$BX$35&lt;90,$BY$33:$BY$35=$BY$34,$BZ$34:$BZ$35=$BZ$34,$BZ$34&lt;&gt;$BZ$33),1,0)</f>
        <v>0</v>
      </c>
      <c r="CG34" s="226">
        <f t="array" aca="1" ref="CG34" ca="1">IF(AND($BW$33:$BW$35=BW34,$BX$34:$BX$35&lt;90,$BX$33&lt;&gt;$BX$34),1,0)</f>
        <v>0</v>
      </c>
      <c r="CH34" s="226">
        <f t="array" aca="1" ref="CH34" ca="1">IF(AND($BW$33:$BW$35=BW34,$BX$33:$BX$34&lt;90,$BX$34&lt;&gt;$BX$35),1,0)</f>
        <v>0</v>
      </c>
      <c r="CI34" s="226">
        <f t="array" aca="1" ref="CI34" ca="1">IF(AND($BW$33:$BW$35=BW34,$BX$33:$BX$35&gt;90),1,0)</f>
        <v>0</v>
      </c>
      <c r="CJ34" s="226">
        <f t="array" aca="1" ref="CJ34" ca="1">IF(AND($BW$33:$BW$34=BW34,$BX$33:$BX$34&lt;90,BX35&gt;90,$BY$33:$BY$34=BY34,$BZ$33:$BZ$34=BZ34),1,0)</f>
        <v>0</v>
      </c>
      <c r="CK34" s="226">
        <f t="array" aca="1" ref="CK34" ca="1">IF(AND($BW$33:$BW$34=BW33,$BX$33:$BX$34&lt;90,BX35&gt;90,$BY$33:$BY$34=BY34,$BZ$33&gt;$BZ$34),1,0)</f>
        <v>0</v>
      </c>
      <c r="CL34" s="226">
        <f t="array" aca="1" ref="CL34" ca="1">IF(AND($BW$34:$BW$35=BW34,$BX$34:$BX$35&lt;90,BX33&gt;90,$BY$34:$BY$35=BY34,$BZ$34:$BZ$35=BZ34),1,0)</f>
        <v>0</v>
      </c>
      <c r="CM34" s="226">
        <f t="array" aca="1" ref="CM34" ca="1">IF(AND($BW$34:$BW$35=BW34,$BX$34:$BX$35&lt;90,BX33&gt;90,$BY$34:$BY$35=BY34,$BZ$34&gt;$BZ$35),1,0)</f>
        <v>0</v>
      </c>
      <c r="CN34" s="226">
        <f t="array" aca="1" ref="CN34" ca="1">IF(AND($BW$34&lt;&gt;$BW$33,$BW$34&lt;&gt;$BW$35),1,0)</f>
        <v>1</v>
      </c>
      <c r="CO34" s="226"/>
      <c r="CP34" s="226"/>
      <c r="CQ34" s="226"/>
      <c r="CR34" s="226"/>
      <c r="CS34" s="226"/>
      <c r="CT34" s="226"/>
      <c r="CU34" s="226"/>
      <c r="CV34" s="226"/>
      <c r="CW34" s="226"/>
      <c r="CX34" s="226"/>
      <c r="CY34" s="226"/>
      <c r="CZ34" s="226"/>
      <c r="DA34" s="226"/>
      <c r="DB34" s="226"/>
      <c r="DC34" s="226"/>
      <c r="DD34" s="226"/>
      <c r="DE34" s="226"/>
      <c r="DF34" s="227">
        <v>3</v>
      </c>
      <c r="DG34" s="227"/>
      <c r="DH34" s="227"/>
      <c r="DI34" s="227"/>
      <c r="DJ34" s="227"/>
      <c r="DK34" s="227"/>
      <c r="DL34" s="226"/>
      <c r="DM34" s="226"/>
      <c r="DN34" s="226"/>
      <c r="DO34" s="226"/>
      <c r="DP34" s="226"/>
      <c r="DQ34" s="226"/>
    </row>
    <row r="35" spans="1:121 2451:2451" ht="15" customHeight="1" thickBot="1">
      <c r="A35" s="220" t="str">
        <f ca="1">R24</f>
        <v>Ecuador</v>
      </c>
      <c r="B35" s="220"/>
      <c r="C35" s="220"/>
      <c r="D35" s="286"/>
      <c r="E35" s="365">
        <v>3</v>
      </c>
      <c r="F35" s="366" t="str">
        <f ca="1">VLOOKUP(E35,$AG$33:$AI$35,3,0)</f>
        <v>Ecuador</v>
      </c>
      <c r="G35" s="367">
        <f ca="1">VLOOKUP(F35,$AI$33:$AR$35,2,FALSE)</f>
        <v>1</v>
      </c>
      <c r="H35" s="367">
        <f ca="1">VLOOKUP($F35,$AI$33:$AR$35,3,FALSE)</f>
        <v>3</v>
      </c>
      <c r="I35" s="367">
        <f ca="1">VLOOKUP($F35,$AI$33:$AR$35,4,FALSE)</f>
        <v>0</v>
      </c>
      <c r="J35" s="367">
        <f ca="1">VLOOKUP($F35,$AI$33:$AR$35,5,FALSE)</f>
        <v>1</v>
      </c>
      <c r="K35" s="367">
        <f ca="1">VLOOKUP($F35,$AI$33:$AR$35,6,FALSE)</f>
        <v>2</v>
      </c>
      <c r="L35" s="367">
        <f ca="1">VLOOKUP($F35,$AI$33:$AR$35,7,FALSE)</f>
        <v>2</v>
      </c>
      <c r="M35" s="367">
        <f ca="1">VLOOKUP($F35,$AI$33:$AR$35,8,FALSE)</f>
        <v>7</v>
      </c>
      <c r="N35" s="368">
        <f ca="1">VLOOKUP($F35,$AI$33:$AR$35,9,FALSE)</f>
        <v>-5</v>
      </c>
      <c r="O35" s="297">
        <f ca="1">IF(SUM($AK$33:$AK$35)=9,MIN(ABS(BS34-BS35),ABS(BS35-BS37)),100)</f>
        <v>950210999.89999998</v>
      </c>
      <c r="P35" s="345" t="str">
        <f ca="1">IF(AND(O35&gt;=0,O35&lt;90),VLOOKUP(E35,$BO$33:$BP$35,2,0),"")</f>
        <v/>
      </c>
      <c r="Q35" s="355"/>
      <c r="R35" s="305"/>
      <c r="S35" s="310"/>
      <c r="T35" s="310"/>
      <c r="U35" s="310"/>
      <c r="V35" s="310"/>
      <c r="W35" s="310"/>
      <c r="X35" s="310"/>
      <c r="Y35" s="310"/>
      <c r="Z35" s="310"/>
      <c r="AA35" s="310"/>
      <c r="AB35" s="310"/>
      <c r="AC35" s="310"/>
      <c r="AD35" s="310"/>
      <c r="AE35" s="305"/>
      <c r="AF35" s="225">
        <f ca="1">VLOOKUP($F35,$AI$33:$AR$35,10,FALSE)</f>
        <v>950210999.89999998</v>
      </c>
      <c r="AG35" s="226">
        <f ca="1">RANK(AU35,$AU$33:$AU$35)</f>
        <v>3</v>
      </c>
      <c r="AH35" s="226">
        <f ca="1">RANK(AR35,$AR$33:$AR$35)</f>
        <v>3</v>
      </c>
      <c r="AI35" s="227" t="str">
        <f ca="1">IF(SUM($AK$22:$AK$25)=12,VLOOKUP(3,$AG$22:$AI$25,3,0),"3C")</f>
        <v>Ecuador</v>
      </c>
      <c r="AJ35" s="227">
        <f ca="1">IF(SUM($AK$22:$AK$25)=12,VLOOKUP(3,$AG$22:$AR$25,4,0),"3C")</f>
        <v>1</v>
      </c>
      <c r="AK35" s="227">
        <f ca="1">IF(SUM($AK$22:$AK$25)=12,VLOOKUP(3,$AG$22:$AR$25,5,0),"3C")</f>
        <v>3</v>
      </c>
      <c r="AL35" s="227">
        <f ca="1">IF(SUM($AK$22:$AK$25)=12,VLOOKUP(3,$AG$22:$AR$25,6,0),"3C")</f>
        <v>0</v>
      </c>
      <c r="AM35" s="227">
        <f ca="1">IF(SUM($AK$22:$AK$25)=12,VLOOKUP(3,$AG$22:$AR$25,7,0),"3C")</f>
        <v>1</v>
      </c>
      <c r="AN35" s="227">
        <f ca="1">IF(SUM($AK$22:$AK$25)=12,VLOOKUP(3,$AG$22:$AR$25,8,0),"3C")</f>
        <v>2</v>
      </c>
      <c r="AO35" s="227">
        <f ca="1">IF(SUM($AK$22:$AK$25)=12,VLOOKUP(3,$AG$22:$AR$25,9,0),"3C")</f>
        <v>2</v>
      </c>
      <c r="AP35" s="227">
        <f ca="1">IF(SUM($AK$22:$AK$25)=12,VLOOKUP(3,$AG$22:$AR$25,10,0),"3C")</f>
        <v>7</v>
      </c>
      <c r="AQ35" s="227">
        <f ca="1">IF(SUM($AK$22:$AK$25)=12,VLOOKUP(3,$AG$22:$AR$25,11,0),"3C")</f>
        <v>-5</v>
      </c>
      <c r="AR35" s="227">
        <f ca="1">IF(SUM($AK$22:$AK$25)=12,VLOOKUP(3,$AG$22:$AR$25,12,0),1)</f>
        <v>950210999.89999998</v>
      </c>
      <c r="AS35" s="226">
        <f ca="1">AH35</f>
        <v>3</v>
      </c>
      <c r="AT35" s="226"/>
      <c r="AU35" s="226">
        <f ca="1">IFERROR(AR35-VLOOKUP(AI35,$P$33:$Q$35,2,0),AR35)</f>
        <v>950210999.89999998</v>
      </c>
      <c r="AV35" s="226"/>
      <c r="AW35" s="226" t="str">
        <f ca="1">IF(COUNTIF($A$5:$A$8,F35)&gt;0,$B$4,IF(COUNTIF($A$13:$A$16,F35)&gt;0,$B$12,IF(COUNTIF($A$21:$A$24,F35)&gt;0,$B$20,"NO")))</f>
        <v>C</v>
      </c>
      <c r="AX35" s="226"/>
      <c r="AY35" s="226" t="s">
        <v>106</v>
      </c>
      <c r="AZ35" s="243">
        <f t="shared" ca="1" si="27"/>
        <v>0</v>
      </c>
      <c r="BA35" s="233" t="str">
        <f ca="1">R16</f>
        <v>Paraguay</v>
      </c>
      <c r="BB35" s="233" t="str">
        <f ca="1">R8</f>
        <v>Perú</v>
      </c>
      <c r="BC35" s="227"/>
      <c r="BD35" s="233"/>
      <c r="BE35" s="233"/>
      <c r="BF35" s="233"/>
      <c r="BG35" s="233"/>
      <c r="BH35" s="233"/>
      <c r="BI35" s="233"/>
      <c r="BJ35" s="233"/>
      <c r="BK35" s="233"/>
      <c r="BL35" s="233"/>
      <c r="BM35" s="233"/>
      <c r="BN35" s="227">
        <v>3</v>
      </c>
      <c r="BO35" s="227">
        <f ca="1">RANK(BQ35,$BQ$33:$BQ$35)</f>
        <v>3</v>
      </c>
      <c r="BP35" s="227" t="str">
        <f ca="1">A35</f>
        <v>Ecuador</v>
      </c>
      <c r="BQ35" s="227">
        <f ca="1">IF(SUM($AK$22:$AK$25)=12,VLOOKUP(3,$AG$22:$AR$25,12,0),"3B")</f>
        <v>950210999.89999998</v>
      </c>
      <c r="BR35" s="227" t="str">
        <f ca="1">VLOOKUP(E35,$AH$33:$AI$35,2,0)</f>
        <v>Ecuador</v>
      </c>
      <c r="BS35" s="227">
        <f ca="1">VLOOKUP($BR35,$AI$33:$AR$35,10,FALSE)</f>
        <v>950210999.89999998</v>
      </c>
      <c r="BT35" s="227"/>
      <c r="BU35" s="227">
        <v>3</v>
      </c>
      <c r="BV35" s="227" t="str">
        <f ca="1">VLOOKUP(BU35,$AH$33:$AI$35,2,0)</f>
        <v>Ecuador</v>
      </c>
      <c r="BW35" s="227">
        <f ca="1">VLOOKUP(BV35,$AI$33:$AR$35,2,FALSE)</f>
        <v>1</v>
      </c>
      <c r="BX35" s="234">
        <f ca="1">IF(SUM($AK$22:$AK$25)=12,MIN(ABS(BS34-BS35),ABS(BS35-BS37)),100)</f>
        <v>950210999.89999998</v>
      </c>
      <c r="BY35" s="227">
        <f ca="1">VLOOKUP($BV35,$AI$33:$AR$35,9,FALSE)</f>
        <v>-5</v>
      </c>
      <c r="BZ35" s="227">
        <f ca="1">VLOOKUP($BV35,$AI$33:$AR$35,7,FALSE)</f>
        <v>2</v>
      </c>
      <c r="CA35" s="227">
        <f t="array" aca="1" ref="CA35" ca="1">IF($CB$33=$CD$32,$DF$32:$DF$34,IF($CB$33=$CE$32,$DK$32,IF($CB$33=$CF$32,$DH$32:$DH$33,$DK$32)))</f>
        <v>3</v>
      </c>
      <c r="CB35" s="226"/>
      <c r="CC35" s="226">
        <v>3</v>
      </c>
      <c r="CD35" s="226">
        <f t="array" aca="1" ref="CD35" ca="1">IF(AND($BW$33:$BW$35=BW35,$BX$33:$BX$35&lt;90,$BY$33:$BY$35=$BY$35,$BZ$33:$BZ$35=$BZ$35),1,0)</f>
        <v>0</v>
      </c>
      <c r="CE35" s="226">
        <f t="array" aca="1" ref="CE35" ca="1">IF(AND($BW$33:$BW$35=BW35,$BX$33:$BX$35&lt;90,$BY$33:$BY$35=$BY$35,$BZ$33:$BZ$34&lt;&gt;$BZ$35),1,0)</f>
        <v>0</v>
      </c>
      <c r="CF35" s="226">
        <f t="array" aca="1" ref="CF35" ca="1">IF(AND($BW$33:$BW$35=BW35,$BX$33:$BX$35&lt;90,$BY$33:$BY$35=$BY$35,$BZ$34:$BZ$35=$BZ$34,$BZ$35&lt;&gt;$BZ$33),1,0)</f>
        <v>0</v>
      </c>
      <c r="CG35" s="226">
        <f t="array" aca="1" ref="CG35" ca="1">IF(AND($BW$33:$BW$35=BW34,$BX$34:$BX$35&lt;90,$BX$33&lt;&gt;$BX$35),1,0)</f>
        <v>0</v>
      </c>
      <c r="CH35" s="226">
        <f t="array" aca="1" ref="CH35" ca="1">IF(AND($BW$33:$BW$35=BW33,$BX$33:$BX$34&lt;90,$BX$34&lt;&gt;$BX$35),1,0)</f>
        <v>0</v>
      </c>
      <c r="CI35" s="226">
        <f t="array" aca="1" ref="CI35" ca="1">IF(AND($BW$33:$BW$35=BW34,$BX$33:$BX$35&gt;90),1,0)</f>
        <v>0</v>
      </c>
      <c r="CJ35" s="226">
        <f t="array" aca="1" ref="CJ35" ca="1">IF(AND($BW$33:$BW$34=BW34,$BX$33:$BX$34&lt;90,BX35&gt;90),1,0)</f>
        <v>0</v>
      </c>
      <c r="CK35" s="226">
        <f t="array" aca="1" ref="CK35" ca="1">IF(AND($BW$33:$BW$34=BW34,$BX$33:$BX$34&lt;90,BX35&gt;90),1,0)</f>
        <v>0</v>
      </c>
      <c r="CL35" s="226">
        <f t="array" aca="1" ref="CL35" ca="1">IF(AND($BW$34:$BW$35=BW35,$BX$34:$BX$35&lt;90,BX33&gt;90,$BY$34:$BY$35=BY35,$BZ$34:$BZ$35=BZ35),1,0)</f>
        <v>0</v>
      </c>
      <c r="CM35" s="226">
        <f t="array" aca="1" ref="CM35" ca="1">IF(AND($BW$34:$BW$35=BW35,$BX$34:$BX$35&lt;90,BX33&gt;90,$BY$34:$BY$35=BY35,$BZ$34&gt;$BZ$35),1,0)</f>
        <v>0</v>
      </c>
      <c r="CN35" s="226">
        <f t="array" aca="1" ref="CN35" ca="1">IF(AND($BW$35&lt;&gt;$BW$33,$BW$35&lt;&gt;$BW$34),1,0)</f>
        <v>1</v>
      </c>
      <c r="CO35" s="226"/>
      <c r="CP35" s="226"/>
      <c r="CQ35" s="226"/>
      <c r="CR35" s="226"/>
      <c r="CS35" s="226"/>
      <c r="CT35" s="226"/>
      <c r="CU35" s="226"/>
      <c r="CV35" s="226"/>
      <c r="CW35" s="226"/>
      <c r="CX35" s="226"/>
      <c r="CY35" s="226"/>
      <c r="CZ35" s="226"/>
      <c r="DA35" s="226"/>
      <c r="DB35" s="226"/>
      <c r="DC35" s="226"/>
      <c r="DD35" s="226"/>
      <c r="DE35" s="226"/>
      <c r="DF35" s="226"/>
      <c r="DG35" s="226"/>
      <c r="DH35" s="226"/>
      <c r="DI35" s="226"/>
      <c r="DJ35" s="226"/>
      <c r="DK35" s="226"/>
      <c r="DL35" s="226"/>
      <c r="DM35" s="226"/>
      <c r="DN35" s="226"/>
      <c r="DO35" s="226"/>
      <c r="DP35" s="226"/>
      <c r="DQ35" s="226"/>
    </row>
    <row r="36" spans="1:121 2451:2451" ht="15" customHeight="1">
      <c r="A36" s="196"/>
      <c r="B36" s="196"/>
      <c r="C36" s="196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297"/>
      <c r="P36" s="311"/>
      <c r="Q36" s="305"/>
      <c r="R36" s="305"/>
      <c r="S36" s="310"/>
      <c r="T36" s="310"/>
      <c r="U36" s="310"/>
      <c r="V36" s="310"/>
      <c r="W36" s="310"/>
      <c r="X36" s="310"/>
      <c r="Y36" s="310"/>
      <c r="Z36" s="310"/>
      <c r="AA36" s="310"/>
      <c r="AB36" s="310"/>
      <c r="AC36" s="310"/>
      <c r="AD36" s="310"/>
      <c r="AE36" s="305"/>
      <c r="AF36" s="225"/>
      <c r="AG36" s="226"/>
      <c r="AH36" s="226"/>
      <c r="AI36" s="227"/>
      <c r="AJ36" s="227"/>
      <c r="AK36" s="227"/>
      <c r="AL36" s="227"/>
      <c r="AM36" s="227"/>
      <c r="AN36" s="227"/>
      <c r="AO36" s="227"/>
      <c r="AP36" s="227"/>
      <c r="AQ36" s="227"/>
      <c r="AR36" s="227"/>
      <c r="AS36" s="226"/>
      <c r="AT36" s="226"/>
      <c r="AU36" s="226"/>
      <c r="AV36" s="226"/>
      <c r="AW36" s="226"/>
      <c r="AX36" s="226"/>
      <c r="AY36" s="226" t="s">
        <v>111</v>
      </c>
      <c r="AZ36" s="243">
        <f ca="1">IF($AX$33=AY36,1,0)</f>
        <v>0</v>
      </c>
      <c r="BA36" s="233" t="str">
        <f ca="1">R24</f>
        <v>Ecuador</v>
      </c>
      <c r="BB36" s="233" t="str">
        <f ca="1">R8</f>
        <v>Perú</v>
      </c>
      <c r="BC36" s="227"/>
      <c r="BD36" s="233"/>
      <c r="BE36" s="233"/>
      <c r="BF36" s="233"/>
      <c r="BG36" s="233"/>
      <c r="BH36" s="233"/>
      <c r="BI36" s="233"/>
      <c r="BJ36" s="233"/>
      <c r="BK36" s="233"/>
      <c r="BL36" s="233"/>
      <c r="BM36" s="233"/>
      <c r="BN36" s="227"/>
      <c r="BO36" s="227"/>
      <c r="BP36" s="227"/>
      <c r="BQ36" s="227"/>
      <c r="BR36" s="227"/>
      <c r="BS36" s="227"/>
      <c r="BT36" s="227"/>
      <c r="BU36" s="227"/>
      <c r="BV36" s="227"/>
      <c r="BW36" s="227"/>
      <c r="BX36" s="234"/>
      <c r="BY36" s="227"/>
      <c r="BZ36" s="227"/>
      <c r="CA36" s="227"/>
      <c r="CB36" s="226"/>
      <c r="CC36" s="226"/>
      <c r="CD36" s="226"/>
      <c r="CE36" s="226"/>
      <c r="CF36" s="226"/>
      <c r="CG36" s="226"/>
      <c r="CH36" s="226"/>
      <c r="CI36" s="226"/>
      <c r="CJ36" s="226"/>
      <c r="CK36" s="226"/>
      <c r="CL36" s="226"/>
      <c r="CM36" s="226"/>
      <c r="CN36" s="226"/>
      <c r="CO36" s="226"/>
      <c r="CP36" s="226"/>
      <c r="CQ36" s="226"/>
      <c r="CR36" s="226"/>
      <c r="CS36" s="226"/>
      <c r="CT36" s="226"/>
      <c r="CU36" s="226"/>
      <c r="CV36" s="226"/>
      <c r="CW36" s="226"/>
      <c r="CX36" s="226"/>
      <c r="CY36" s="226"/>
      <c r="CZ36" s="226"/>
      <c r="DA36" s="226"/>
      <c r="DB36" s="226"/>
      <c r="DC36" s="226"/>
      <c r="DD36" s="226"/>
      <c r="DE36" s="226"/>
      <c r="DF36" s="226"/>
      <c r="DG36" s="226"/>
      <c r="DH36" s="226"/>
      <c r="DI36" s="226"/>
      <c r="DJ36" s="226"/>
      <c r="DK36" s="226"/>
      <c r="DL36" s="226"/>
      <c r="DM36" s="226"/>
      <c r="DN36" s="226"/>
      <c r="DO36" s="226"/>
      <c r="DP36" s="226"/>
      <c r="DQ36" s="226"/>
    </row>
    <row r="37" spans="1:121 2451:2451">
      <c r="A37" s="196"/>
      <c r="B37" s="196"/>
      <c r="C37" s="196"/>
      <c r="D37" s="301"/>
      <c r="E37" s="273" t="s">
        <v>171</v>
      </c>
      <c r="F37" s="312"/>
      <c r="G37" s="273"/>
      <c r="H37" s="273"/>
      <c r="I37" s="273"/>
      <c r="J37" s="273"/>
      <c r="K37" s="273"/>
      <c r="L37" s="273"/>
      <c r="M37" s="273"/>
      <c r="N37" s="273"/>
      <c r="O37" s="277"/>
      <c r="P37" s="277"/>
      <c r="Q37" s="274"/>
      <c r="R37" s="274"/>
      <c r="S37" s="310"/>
      <c r="T37" s="310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278"/>
      <c r="AF37" s="225"/>
      <c r="AG37" s="226"/>
      <c r="AH37" s="226"/>
      <c r="AI37" s="226"/>
      <c r="AJ37" s="226"/>
      <c r="AK37" s="226"/>
      <c r="AL37" s="226"/>
      <c r="AM37" s="226"/>
      <c r="AN37" s="226"/>
      <c r="AO37" s="226"/>
      <c r="AP37" s="226"/>
      <c r="AQ37" s="226"/>
      <c r="AR37" s="226"/>
      <c r="AS37" s="226"/>
      <c r="AT37" s="226"/>
      <c r="AU37" s="226"/>
      <c r="AV37" s="226"/>
      <c r="AW37" s="226"/>
      <c r="AX37" s="226"/>
      <c r="AY37" s="226" t="s">
        <v>112</v>
      </c>
      <c r="AZ37" s="243">
        <f ca="1">IF($AX$33=AY37,1,0)</f>
        <v>0</v>
      </c>
      <c r="BA37" s="269" t="str">
        <f ca="1">R24</f>
        <v>Ecuador</v>
      </c>
      <c r="BB37" s="269" t="str">
        <f ca="1">R16</f>
        <v>Paraguay</v>
      </c>
      <c r="BC37" s="227"/>
      <c r="BD37" s="226"/>
      <c r="BE37" s="226"/>
      <c r="BF37" s="226"/>
      <c r="BG37" s="226"/>
      <c r="BH37" s="226"/>
      <c r="BI37" s="226"/>
      <c r="BJ37" s="226"/>
      <c r="BK37" s="226"/>
      <c r="BL37" s="226"/>
      <c r="BM37" s="226"/>
      <c r="BN37" s="226"/>
      <c r="BO37" s="226"/>
      <c r="BP37" s="226"/>
      <c r="BQ37" s="226"/>
      <c r="BR37" s="226"/>
      <c r="BS37" s="226"/>
      <c r="BT37" s="226"/>
      <c r="BU37" s="226"/>
      <c r="BV37" s="226"/>
      <c r="BW37" s="226"/>
      <c r="BX37" s="226"/>
      <c r="BY37" s="226"/>
      <c r="BZ37" s="226"/>
      <c r="CA37" s="226"/>
      <c r="CB37" s="226"/>
      <c r="CC37" s="226"/>
      <c r="CD37" s="226"/>
      <c r="CE37" s="226"/>
      <c r="CF37" s="226"/>
      <c r="CG37" s="226"/>
      <c r="CH37" s="226"/>
      <c r="CI37" s="226"/>
      <c r="CJ37" s="226"/>
      <c r="CK37" s="226"/>
      <c r="CL37" s="226"/>
      <c r="CM37" s="226"/>
      <c r="CN37" s="226"/>
      <c r="CO37" s="226"/>
      <c r="CP37" s="226"/>
      <c r="CQ37" s="226"/>
      <c r="CR37" s="226"/>
      <c r="CS37" s="226"/>
      <c r="CT37" s="226"/>
      <c r="CU37" s="226"/>
      <c r="CV37" s="226"/>
      <c r="CW37" s="226"/>
      <c r="CX37" s="226"/>
      <c r="CY37" s="226"/>
      <c r="CZ37" s="226"/>
      <c r="DA37" s="226"/>
      <c r="DB37" s="226"/>
      <c r="DC37" s="226"/>
      <c r="DD37" s="226"/>
      <c r="DE37" s="226"/>
      <c r="DF37" s="226"/>
      <c r="DG37" s="226"/>
      <c r="DH37" s="226"/>
      <c r="DI37" s="226"/>
      <c r="DJ37" s="226"/>
      <c r="DK37" s="226"/>
      <c r="DL37" s="226"/>
      <c r="DM37" s="226"/>
      <c r="DN37" s="226"/>
      <c r="DO37" s="226"/>
      <c r="DP37" s="226"/>
      <c r="DQ37" s="226"/>
    </row>
    <row r="38" spans="1:121 2451:2451" ht="15" customHeight="1" thickBot="1">
      <c r="A38" s="285"/>
      <c r="B38" s="285"/>
      <c r="C38" s="285"/>
      <c r="D38" s="301"/>
      <c r="E38" s="279"/>
      <c r="F38" s="280" t="str">
        <f>F3</f>
        <v>Fecha</v>
      </c>
      <c r="G38" s="280" t="str">
        <f t="shared" ref="G38:L38" si="28">G3</f>
        <v>Hora</v>
      </c>
      <c r="H38" s="281"/>
      <c r="I38" s="282" t="s">
        <v>2</v>
      </c>
      <c r="J38" s="313" t="s">
        <v>18</v>
      </c>
      <c r="K38" s="283" t="str">
        <f t="shared" si="28"/>
        <v>Gol</v>
      </c>
      <c r="L38" s="283" t="str">
        <f t="shared" si="28"/>
        <v>Gol</v>
      </c>
      <c r="M38" s="314" t="s">
        <v>18</v>
      </c>
      <c r="N38" s="284" t="s">
        <v>4</v>
      </c>
      <c r="O38" s="315"/>
      <c r="P38" s="315"/>
      <c r="Q38" s="274"/>
      <c r="R38" s="274"/>
      <c r="S38" s="274"/>
      <c r="T38" s="274"/>
      <c r="U38" s="274"/>
      <c r="V38" s="276"/>
      <c r="W38" s="276"/>
      <c r="X38" s="276"/>
      <c r="Y38" s="276"/>
      <c r="Z38" s="276"/>
      <c r="AA38" s="278"/>
      <c r="AB38" s="278"/>
      <c r="AC38" s="278"/>
      <c r="AD38" s="278"/>
      <c r="AE38" s="278"/>
      <c r="AF38" s="225"/>
      <c r="AG38" s="226"/>
      <c r="AH38" s="226"/>
      <c r="AI38" s="226"/>
      <c r="AJ38" s="226"/>
      <c r="AK38" s="226"/>
      <c r="AL38" s="226"/>
      <c r="AM38" s="226"/>
      <c r="AN38" s="226"/>
      <c r="AO38" s="226"/>
      <c r="AP38" s="226"/>
      <c r="AQ38" s="226"/>
      <c r="AR38" s="226"/>
      <c r="AS38" s="226"/>
      <c r="AT38" s="226"/>
      <c r="AU38" s="226"/>
      <c r="AV38" s="226"/>
      <c r="AW38" s="226"/>
      <c r="AX38" s="226"/>
      <c r="AY38" s="226"/>
      <c r="AZ38" s="226"/>
      <c r="BA38" s="226"/>
      <c r="BB38" s="226"/>
      <c r="BC38" s="227"/>
      <c r="BD38" s="226"/>
      <c r="BE38" s="226"/>
      <c r="BF38" s="226"/>
      <c r="BG38" s="226"/>
      <c r="BH38" s="226"/>
      <c r="BI38" s="226"/>
      <c r="BJ38" s="226"/>
      <c r="BK38" s="226"/>
      <c r="BL38" s="226"/>
      <c r="BM38" s="226"/>
      <c r="BN38" s="226"/>
      <c r="BO38" s="226"/>
      <c r="BP38" s="226">
        <v>1</v>
      </c>
      <c r="BQ38" s="244"/>
      <c r="BR38" s="226"/>
      <c r="BS38" s="226"/>
      <c r="BT38" s="226"/>
      <c r="BU38" s="226"/>
      <c r="BV38" s="226" t="s">
        <v>116</v>
      </c>
      <c r="BW38" s="226"/>
      <c r="BX38" s="226"/>
      <c r="BY38" s="226"/>
      <c r="BZ38" s="226"/>
      <c r="CA38" s="226"/>
      <c r="CB38" s="226"/>
      <c r="CC38" s="226"/>
      <c r="CD38" s="226"/>
      <c r="CE38" s="226"/>
      <c r="CF38" s="226"/>
      <c r="CG38" s="226"/>
      <c r="CH38" s="226"/>
      <c r="CI38" s="226"/>
      <c r="CJ38" s="226"/>
      <c r="CK38" s="226"/>
      <c r="CL38" s="226"/>
      <c r="CM38" s="226"/>
      <c r="CN38" s="226"/>
      <c r="CO38" s="226"/>
      <c r="CP38" s="226"/>
      <c r="CQ38" s="226"/>
      <c r="CR38" s="226"/>
      <c r="CS38" s="226"/>
      <c r="CT38" s="226"/>
      <c r="CU38" s="226"/>
      <c r="CV38" s="226"/>
      <c r="CW38" s="226"/>
      <c r="CX38" s="226"/>
      <c r="CY38" s="226"/>
      <c r="CZ38" s="226"/>
      <c r="DA38" s="226"/>
      <c r="DB38" s="226"/>
      <c r="DC38" s="226"/>
      <c r="DD38" s="226"/>
      <c r="DE38" s="226"/>
      <c r="DF38" s="226"/>
      <c r="DG38" s="226"/>
      <c r="DH38" s="226"/>
      <c r="DI38" s="226"/>
      <c r="DJ38" s="226"/>
      <c r="DK38" s="226"/>
      <c r="DL38" s="226"/>
      <c r="DM38" s="226"/>
      <c r="DN38" s="226"/>
      <c r="DO38" s="226"/>
      <c r="DP38" s="226"/>
      <c r="DQ38" s="226"/>
    </row>
    <row r="39" spans="1:121 2451:2451" ht="15" customHeight="1">
      <c r="A39" s="285"/>
      <c r="B39" s="285"/>
      <c r="C39" s="285"/>
      <c r="D39" s="301"/>
      <c r="E39" s="428" t="s">
        <v>98</v>
      </c>
      <c r="F39" s="369">
        <v>43643</v>
      </c>
      <c r="G39" s="370">
        <f>BV60+VLOOKUP($G$2,$BO$39:$BS$51,4,0)*VLOOKUP($G$2,$BO$39:$BS$51,5,0)</f>
        <v>43643.895833333336</v>
      </c>
      <c r="H39" s="371"/>
      <c r="I39" s="372" t="str">
        <f ca="1">IF(SUM(AK6:AK9)=12,VLOOKUP(1,$Q$6:$R$9,2,FALSE),"1A")</f>
        <v>Brasil</v>
      </c>
      <c r="J39" s="373"/>
      <c r="K39" s="374">
        <v>0</v>
      </c>
      <c r="L39" s="374">
        <v>0</v>
      </c>
      <c r="M39" s="375"/>
      <c r="N39" s="376" t="str">
        <f ca="1">IF(SUM(AK33:AK35)=9,VLOOKUP(1,AZ32:BB37,2,FALSE),"3B/C")</f>
        <v>Paraguay</v>
      </c>
      <c r="O39" s="336">
        <f>IF(I45="WC1",0,1)</f>
        <v>0</v>
      </c>
      <c r="P39" s="316"/>
      <c r="Q39" s="317"/>
      <c r="R39" s="317"/>
      <c r="S39" s="317"/>
      <c r="T39" s="317"/>
      <c r="U39" s="317"/>
      <c r="V39" s="317"/>
      <c r="W39" s="317"/>
      <c r="X39" s="317"/>
      <c r="Y39" s="317"/>
      <c r="Z39" s="317"/>
      <c r="AA39" s="278"/>
      <c r="AB39" s="278"/>
      <c r="AC39" s="278"/>
      <c r="AD39" s="278"/>
      <c r="AE39" s="278"/>
      <c r="AF39" s="225"/>
      <c r="AG39" s="226"/>
      <c r="AH39" s="226"/>
      <c r="AI39" s="226"/>
      <c r="AJ39" s="226"/>
      <c r="AK39" s="226"/>
      <c r="AL39" s="226"/>
      <c r="AM39" s="226"/>
      <c r="AN39" s="226"/>
      <c r="AO39" s="226"/>
      <c r="AP39" s="226"/>
      <c r="AQ39" s="226"/>
      <c r="AR39" s="226"/>
      <c r="AS39" s="226"/>
      <c r="AT39" s="226"/>
      <c r="AU39" s="226"/>
      <c r="AV39" s="226"/>
      <c r="AW39" s="226"/>
      <c r="AX39" s="226"/>
      <c r="AY39" s="226"/>
      <c r="AZ39" s="226"/>
      <c r="BA39" s="226"/>
      <c r="BB39" s="226"/>
      <c r="BC39" s="226"/>
      <c r="BD39" s="226"/>
      <c r="BE39" s="226"/>
      <c r="BF39" s="226"/>
      <c r="BG39" s="226"/>
      <c r="BH39" s="226"/>
      <c r="BI39" s="226"/>
      <c r="BJ39" s="226"/>
      <c r="BK39" s="226"/>
      <c r="BL39" s="226" t="s">
        <v>115</v>
      </c>
      <c r="BM39" s="226"/>
      <c r="BN39" s="226"/>
      <c r="BO39" s="226">
        <v>1</v>
      </c>
      <c r="BP39" s="227" t="s">
        <v>45</v>
      </c>
      <c r="BQ39" s="226">
        <v>1</v>
      </c>
      <c r="BR39" s="245">
        <v>0</v>
      </c>
      <c r="BS39" s="227">
        <v>1</v>
      </c>
      <c r="BT39" s="226"/>
      <c r="BU39" s="226"/>
      <c r="BV39" s="222">
        <v>43630.895833333336</v>
      </c>
      <c r="BW39" s="246"/>
      <c r="BX39" s="226"/>
      <c r="BY39" s="226"/>
      <c r="BZ39" s="226"/>
      <c r="CA39" s="226"/>
      <c r="CB39" s="226"/>
      <c r="CC39" s="226"/>
      <c r="CD39" s="226"/>
      <c r="CE39" s="226"/>
      <c r="CF39" s="226"/>
      <c r="CG39" s="226"/>
      <c r="CH39" s="226"/>
      <c r="CI39" s="226"/>
      <c r="CJ39" s="226"/>
      <c r="CK39" s="226"/>
      <c r="CL39" s="226"/>
      <c r="CM39" s="226"/>
      <c r="CN39" s="226"/>
      <c r="CO39" s="226"/>
      <c r="CP39" s="226"/>
      <c r="CQ39" s="226"/>
      <c r="CR39" s="226"/>
      <c r="CS39" s="226"/>
      <c r="CT39" s="226"/>
      <c r="CU39" s="226"/>
      <c r="CV39" s="226"/>
      <c r="CW39" s="226"/>
      <c r="CX39" s="226"/>
      <c r="CY39" s="226"/>
      <c r="CZ39" s="226"/>
      <c r="DA39" s="226"/>
      <c r="DB39" s="226"/>
      <c r="DC39" s="226"/>
      <c r="DD39" s="226"/>
      <c r="DE39" s="226"/>
      <c r="DF39" s="226"/>
      <c r="DG39" s="226"/>
      <c r="DH39" s="226"/>
      <c r="DI39" s="226"/>
      <c r="DJ39" s="226"/>
      <c r="DK39" s="226"/>
      <c r="DL39" s="226"/>
      <c r="DM39" s="226"/>
      <c r="DN39" s="226"/>
      <c r="DO39" s="226"/>
      <c r="DP39" s="226"/>
      <c r="DQ39" s="226"/>
    </row>
    <row r="40" spans="1:121 2451:2451" ht="15" customHeight="1">
      <c r="A40" s="285"/>
      <c r="B40" s="285"/>
      <c r="C40" s="285"/>
      <c r="D40" s="301"/>
      <c r="E40" s="429"/>
      <c r="F40" s="377">
        <v>43644</v>
      </c>
      <c r="G40" s="378">
        <f>BV61+VLOOKUP($G$2,$BO$39:$BS$51,4,0)*VLOOKUP($G$2,$BO$39:$BS$51,5,0)</f>
        <v>43644.666666666664</v>
      </c>
      <c r="H40" s="379"/>
      <c r="I40" s="380" t="str">
        <f ca="1">IF(SUM(AK6:AK9)=12,VLOOKUP(2,$Q$6:$R$9,2,FALSE),"2A")</f>
        <v>Venezuela</v>
      </c>
      <c r="J40" s="381"/>
      <c r="K40" s="382">
        <v>0</v>
      </c>
      <c r="L40" s="382">
        <v>0</v>
      </c>
      <c r="M40" s="381"/>
      <c r="N40" s="383" t="str">
        <f ca="1">IF(SUM(AK14:AK19)=12,VLOOKUP(2,$Q$14:$R$19,2,FALSE),"2B")</f>
        <v>Argentina</v>
      </c>
      <c r="O40" s="336">
        <f>IF(N45="WC2",0,1)</f>
        <v>0</v>
      </c>
      <c r="P40" s="316"/>
      <c r="Q40" s="317"/>
      <c r="R40" s="317"/>
      <c r="S40" s="317"/>
      <c r="T40" s="317"/>
      <c r="U40" s="317"/>
      <c r="V40" s="317"/>
      <c r="W40" s="317"/>
      <c r="X40" s="317"/>
      <c r="Y40" s="317"/>
      <c r="Z40" s="317"/>
      <c r="AA40" s="278"/>
      <c r="AB40" s="278"/>
      <c r="AC40" s="278"/>
      <c r="AD40" s="278"/>
      <c r="AE40" s="278"/>
      <c r="AF40" s="225"/>
      <c r="AG40" s="226"/>
      <c r="AH40" s="226"/>
      <c r="AI40" s="226"/>
      <c r="AJ40" s="226"/>
      <c r="AK40" s="226"/>
      <c r="AL40" s="226"/>
      <c r="AM40" s="226"/>
      <c r="AN40" s="226"/>
      <c r="AO40" s="226"/>
      <c r="AP40" s="226"/>
      <c r="AQ40" s="226"/>
      <c r="AR40" s="226"/>
      <c r="AS40" s="226"/>
      <c r="AT40" s="226"/>
      <c r="AU40" s="226"/>
      <c r="AV40" s="226"/>
      <c r="AW40" s="226"/>
      <c r="AX40" s="226"/>
      <c r="AY40" s="226"/>
      <c r="AZ40" s="226"/>
      <c r="BA40" s="226"/>
      <c r="BB40" s="226"/>
      <c r="BC40" s="226"/>
      <c r="BD40" s="226"/>
      <c r="BE40" s="226"/>
      <c r="BF40" s="226"/>
      <c r="BG40" s="226"/>
      <c r="BH40" s="226"/>
      <c r="BI40" s="226"/>
      <c r="BJ40" s="226"/>
      <c r="BK40" s="226"/>
      <c r="BL40" s="226"/>
      <c r="BM40" s="226"/>
      <c r="BN40" s="226"/>
      <c r="BO40" s="226">
        <v>2</v>
      </c>
      <c r="BP40" s="227" t="s">
        <v>114</v>
      </c>
      <c r="BQ40" s="226">
        <v>2</v>
      </c>
      <c r="BR40" s="245">
        <v>4.1666666666666664E-2</v>
      </c>
      <c r="BS40" s="227">
        <v>-1</v>
      </c>
      <c r="BT40" s="226"/>
      <c r="BU40" s="226"/>
      <c r="BV40" s="222">
        <v>43631.666666666664</v>
      </c>
      <c r="BW40" s="226"/>
      <c r="BX40" s="226"/>
      <c r="BY40" s="226"/>
      <c r="BZ40" s="226"/>
      <c r="CA40" s="226"/>
      <c r="CB40" s="226"/>
      <c r="CC40" s="226"/>
      <c r="CD40" s="226"/>
      <c r="CE40" s="226"/>
      <c r="CF40" s="226"/>
      <c r="CG40" s="226"/>
      <c r="CH40" s="226"/>
      <c r="CI40" s="226"/>
      <c r="CJ40" s="226"/>
      <c r="CK40" s="226"/>
      <c r="CL40" s="226"/>
      <c r="CM40" s="226"/>
      <c r="CN40" s="226"/>
      <c r="CO40" s="226"/>
      <c r="CP40" s="226"/>
      <c r="CQ40" s="226"/>
      <c r="CR40" s="226"/>
      <c r="CS40" s="226"/>
      <c r="CT40" s="226"/>
      <c r="CU40" s="226"/>
      <c r="CV40" s="226"/>
      <c r="CW40" s="226"/>
      <c r="CX40" s="226"/>
      <c r="CY40" s="226"/>
      <c r="CZ40" s="226"/>
      <c r="DA40" s="226"/>
      <c r="DB40" s="226"/>
      <c r="DC40" s="226"/>
      <c r="DD40" s="226"/>
      <c r="DE40" s="226"/>
      <c r="DF40" s="226"/>
      <c r="DG40" s="226"/>
      <c r="DH40" s="226"/>
      <c r="DI40" s="226"/>
      <c r="DJ40" s="226"/>
      <c r="DK40" s="226"/>
      <c r="DL40" s="226"/>
      <c r="DM40" s="226"/>
      <c r="DN40" s="226"/>
      <c r="DO40" s="226"/>
      <c r="DP40" s="226"/>
      <c r="DQ40" s="226"/>
    </row>
    <row r="41" spans="1:121 2451:2451" ht="15" customHeight="1">
      <c r="A41" s="285"/>
      <c r="B41" s="285"/>
      <c r="C41" s="285"/>
      <c r="D41" s="301"/>
      <c r="E41" s="429"/>
      <c r="F41" s="377">
        <v>43644</v>
      </c>
      <c r="G41" s="378">
        <f>BV62+VLOOKUP($G$2,$BO$39:$BS$51,4,0)*VLOOKUP($G$2,$BO$39:$BS$51,5,0)</f>
        <v>43644.833333333336</v>
      </c>
      <c r="H41" s="384"/>
      <c r="I41" s="380" t="str">
        <f ca="1">IF(SUM(AK14:AK19)=12,VLOOKUP(1,$Q$14:$R$19,2,FALSE),"1B")</f>
        <v>Colombia</v>
      </c>
      <c r="J41" s="381"/>
      <c r="K41" s="382">
        <v>0</v>
      </c>
      <c r="L41" s="382">
        <v>0</v>
      </c>
      <c r="M41" s="381"/>
      <c r="N41" s="383" t="str">
        <f ca="1">IF(SUM(AK22:AK25)=12,VLOOKUP(2,$Q$22:$R$25,2,FALSE),"2C")</f>
        <v>Chile</v>
      </c>
      <c r="O41" s="336">
        <f>IF(I46="WC3",0,1)</f>
        <v>0</v>
      </c>
      <c r="P41" s="316"/>
      <c r="Q41" s="317"/>
      <c r="R41" s="317"/>
      <c r="S41" s="317"/>
      <c r="T41" s="317"/>
      <c r="U41" s="317"/>
      <c r="V41" s="317"/>
      <c r="W41" s="317"/>
      <c r="X41" s="317"/>
      <c r="Y41" s="317"/>
      <c r="Z41" s="317"/>
      <c r="AA41" s="278"/>
      <c r="AB41" s="278"/>
      <c r="AC41" s="278"/>
      <c r="AD41" s="278"/>
      <c r="AE41" s="278"/>
      <c r="AF41" s="225"/>
      <c r="AG41" s="226"/>
      <c r="AH41" s="226"/>
      <c r="AI41" s="226"/>
      <c r="AJ41" s="226"/>
      <c r="AK41" s="226"/>
      <c r="AL41" s="226"/>
      <c r="AM41" s="226"/>
      <c r="AN41" s="226"/>
      <c r="AO41" s="226"/>
      <c r="AP41" s="226"/>
      <c r="AQ41" s="226"/>
      <c r="AR41" s="226"/>
      <c r="AS41" s="226"/>
      <c r="AT41" s="226"/>
      <c r="AU41" s="226"/>
      <c r="AV41" s="226"/>
      <c r="AW41" s="226"/>
      <c r="AX41" s="226"/>
      <c r="AY41" s="226"/>
      <c r="AZ41" s="226"/>
      <c r="BA41" s="226"/>
      <c r="BB41" s="226"/>
      <c r="BC41" s="226"/>
      <c r="BD41" s="226"/>
      <c r="BE41" s="226"/>
      <c r="BF41" s="226"/>
      <c r="BG41" s="226"/>
      <c r="BH41" s="226"/>
      <c r="BI41" s="226"/>
      <c r="BJ41" s="226"/>
      <c r="BK41" s="226"/>
      <c r="BL41" s="226"/>
      <c r="BM41" s="226"/>
      <c r="BN41" s="226"/>
      <c r="BO41" s="226">
        <v>3</v>
      </c>
      <c r="BP41" s="227" t="s">
        <v>46</v>
      </c>
      <c r="BQ41" s="226">
        <v>3</v>
      </c>
      <c r="BR41" s="245">
        <v>0</v>
      </c>
      <c r="BS41" s="227">
        <v>1</v>
      </c>
      <c r="BT41" s="226"/>
      <c r="BU41" s="226"/>
      <c r="BV41" s="222">
        <v>43634.895833333336</v>
      </c>
      <c r="BW41" s="226"/>
      <c r="BX41" s="226"/>
      <c r="BY41" s="226"/>
      <c r="BZ41" s="226"/>
      <c r="CA41" s="226"/>
      <c r="CB41" s="226"/>
      <c r="CC41" s="226"/>
      <c r="CD41" s="226"/>
      <c r="CE41" s="226"/>
      <c r="CF41" s="226"/>
      <c r="CG41" s="226"/>
      <c r="CH41" s="226"/>
      <c r="CI41" s="226"/>
      <c r="CJ41" s="226"/>
      <c r="CK41" s="226"/>
      <c r="CL41" s="226"/>
      <c r="CM41" s="226"/>
      <c r="CN41" s="226"/>
      <c r="CO41" s="226"/>
      <c r="CP41" s="226"/>
      <c r="CQ41" s="226"/>
      <c r="CR41" s="226"/>
      <c r="CS41" s="226"/>
      <c r="CT41" s="226"/>
      <c r="CU41" s="226"/>
      <c r="CV41" s="226"/>
      <c r="CW41" s="226"/>
      <c r="CX41" s="226"/>
      <c r="CY41" s="226"/>
      <c r="CZ41" s="226"/>
      <c r="DA41" s="226"/>
      <c r="DB41" s="226"/>
      <c r="DC41" s="226"/>
      <c r="DD41" s="226"/>
      <c r="DE41" s="226"/>
      <c r="DF41" s="226"/>
      <c r="DG41" s="226"/>
      <c r="DH41" s="226"/>
      <c r="DI41" s="226"/>
      <c r="DJ41" s="226"/>
      <c r="DK41" s="226"/>
      <c r="DL41" s="226"/>
      <c r="DM41" s="226"/>
      <c r="DN41" s="226"/>
      <c r="DO41" s="226"/>
      <c r="DP41" s="226"/>
      <c r="DQ41" s="226"/>
    </row>
    <row r="42" spans="1:121 2451:2451" ht="15" customHeight="1" thickBot="1">
      <c r="A42" s="285"/>
      <c r="B42" s="285"/>
      <c r="C42" s="285"/>
      <c r="D42" s="301"/>
      <c r="E42" s="430"/>
      <c r="F42" s="385">
        <v>43645</v>
      </c>
      <c r="G42" s="386">
        <f>BV63+VLOOKUP($G$2,$BO$39:$BS$51,4,0)*VLOOKUP($G$2,$BO$39:$BS$51,5,0)</f>
        <v>43645.666666666664</v>
      </c>
      <c r="H42" s="387"/>
      <c r="I42" s="388" t="str">
        <f ca="1">IF(SUM(AK22:AK25)=12,VLOOKUP(1,$Q$22:$R$25,2,FALSE),"1C")</f>
        <v>Uruguay</v>
      </c>
      <c r="J42" s="389"/>
      <c r="K42" s="390">
        <v>0</v>
      </c>
      <c r="L42" s="390">
        <v>0</v>
      </c>
      <c r="M42" s="389"/>
      <c r="N42" s="391" t="str">
        <f ca="1">IF(SUM(AK33:AK35)=9,VLOOKUP(1,AZ32:BB37,3,FALSE),"3A/B")</f>
        <v>Perú</v>
      </c>
      <c r="O42" s="336">
        <f>IF(N46="WC4",0,1)</f>
        <v>0</v>
      </c>
      <c r="P42" s="316"/>
      <c r="Q42" s="317"/>
      <c r="R42" s="317"/>
      <c r="S42" s="317"/>
      <c r="T42" s="317"/>
      <c r="U42" s="317"/>
      <c r="V42" s="317"/>
      <c r="W42" s="317"/>
      <c r="X42" s="317"/>
      <c r="Y42" s="317"/>
      <c r="Z42" s="317"/>
      <c r="AA42" s="356"/>
      <c r="AB42" s="356"/>
      <c r="AC42" s="356"/>
      <c r="AD42" s="356"/>
      <c r="AE42" s="356"/>
      <c r="AF42" s="225"/>
      <c r="AG42" s="226"/>
      <c r="AH42" s="226"/>
      <c r="AI42" s="226"/>
      <c r="AJ42" s="226"/>
      <c r="AK42" s="226"/>
      <c r="AL42" s="226"/>
      <c r="AM42" s="226"/>
      <c r="AN42" s="226"/>
      <c r="AO42" s="226"/>
      <c r="AP42" s="226"/>
      <c r="AQ42" s="226"/>
      <c r="AR42" s="226"/>
      <c r="AS42" s="226"/>
      <c r="AT42" s="226"/>
      <c r="AU42" s="226"/>
      <c r="AV42" s="226"/>
      <c r="AW42" s="226"/>
      <c r="AX42" s="226"/>
      <c r="AY42" s="226"/>
      <c r="AZ42" s="226"/>
      <c r="BA42" s="226"/>
      <c r="BB42" s="226"/>
      <c r="BC42" s="226"/>
      <c r="BD42" s="226"/>
      <c r="BE42" s="226"/>
      <c r="BF42" s="226"/>
      <c r="BG42" s="226"/>
      <c r="BH42" s="226"/>
      <c r="BI42" s="226"/>
      <c r="BJ42" s="226"/>
      <c r="BK42" s="226"/>
      <c r="BL42" s="226"/>
      <c r="BM42" s="226"/>
      <c r="BN42" s="226"/>
      <c r="BO42" s="226">
        <v>4</v>
      </c>
      <c r="BP42" s="227" t="s">
        <v>90</v>
      </c>
      <c r="BQ42" s="226">
        <v>4</v>
      </c>
      <c r="BR42" s="245">
        <v>0.25</v>
      </c>
      <c r="BS42" s="227">
        <v>1</v>
      </c>
      <c r="BT42" s="226"/>
      <c r="BU42" s="226"/>
      <c r="BV42" s="222">
        <v>43634.770833333336</v>
      </c>
      <c r="BW42" s="226"/>
      <c r="BX42" s="226"/>
      <c r="BY42" s="226"/>
      <c r="BZ42" s="226"/>
      <c r="CA42" s="226"/>
      <c r="CB42" s="226"/>
      <c r="CC42" s="226"/>
      <c r="CD42" s="226"/>
      <c r="CE42" s="226"/>
      <c r="CF42" s="226"/>
      <c r="CG42" s="226"/>
      <c r="CH42" s="226"/>
      <c r="CI42" s="226"/>
      <c r="CJ42" s="226"/>
      <c r="CK42" s="226"/>
      <c r="CL42" s="226"/>
      <c r="CM42" s="226"/>
      <c r="CN42" s="226"/>
      <c r="CO42" s="226"/>
      <c r="CP42" s="226"/>
      <c r="CQ42" s="226"/>
      <c r="CR42" s="226"/>
      <c r="CS42" s="226"/>
      <c r="CT42" s="226"/>
      <c r="CU42" s="226"/>
      <c r="CV42" s="226"/>
      <c r="CW42" s="226"/>
      <c r="CX42" s="226"/>
      <c r="CY42" s="226"/>
      <c r="CZ42" s="226"/>
      <c r="DA42" s="226"/>
      <c r="DB42" s="226"/>
      <c r="DC42" s="226"/>
      <c r="DD42" s="226"/>
      <c r="DE42" s="226"/>
      <c r="DF42" s="226"/>
      <c r="DG42" s="226"/>
      <c r="DH42" s="226"/>
      <c r="DI42" s="226"/>
      <c r="DJ42" s="226"/>
      <c r="DK42" s="226"/>
      <c r="DL42" s="226"/>
      <c r="DM42" s="226"/>
      <c r="DN42" s="226"/>
      <c r="DO42" s="226"/>
      <c r="DP42" s="226"/>
      <c r="DQ42" s="226"/>
    </row>
    <row r="43" spans="1:121 2451:2451" s="321" customFormat="1">
      <c r="A43" s="285"/>
      <c r="B43" s="285"/>
      <c r="C43" s="285"/>
      <c r="D43" s="301"/>
      <c r="E43" s="273" t="s">
        <v>108</v>
      </c>
      <c r="F43" s="312"/>
      <c r="G43" s="273"/>
      <c r="H43" s="273"/>
      <c r="I43" s="273"/>
      <c r="J43" s="272"/>
      <c r="K43" s="272"/>
      <c r="L43" s="272"/>
      <c r="M43" s="272"/>
      <c r="N43" s="272"/>
      <c r="O43" s="316"/>
      <c r="P43" s="316"/>
      <c r="Q43" s="317"/>
      <c r="R43" s="317"/>
      <c r="S43" s="317"/>
      <c r="T43" s="317"/>
      <c r="U43" s="317"/>
      <c r="V43" s="317"/>
      <c r="W43" s="317"/>
      <c r="X43" s="317"/>
      <c r="Y43" s="317"/>
      <c r="Z43" s="317"/>
      <c r="AA43" s="317"/>
      <c r="AB43" s="317"/>
      <c r="AC43" s="317"/>
      <c r="AD43" s="278"/>
      <c r="AE43" s="278"/>
      <c r="AF43" s="279"/>
      <c r="AG43" s="301"/>
      <c r="AH43" s="301"/>
      <c r="AI43" s="301"/>
      <c r="AJ43" s="301"/>
      <c r="AK43" s="301"/>
      <c r="AL43" s="301"/>
      <c r="AM43" s="301"/>
      <c r="AN43" s="301"/>
      <c r="AO43" s="301"/>
      <c r="AP43" s="301"/>
      <c r="AQ43" s="301"/>
      <c r="AR43" s="301"/>
      <c r="AS43" s="301"/>
      <c r="AT43" s="301"/>
      <c r="AU43" s="301"/>
      <c r="AV43" s="301"/>
      <c r="AW43" s="301"/>
      <c r="AX43" s="301"/>
      <c r="AY43" s="301"/>
      <c r="AZ43" s="301"/>
      <c r="BA43" s="301"/>
      <c r="BB43" s="301"/>
      <c r="BC43" s="301"/>
      <c r="BD43" s="301"/>
      <c r="BE43" s="301"/>
      <c r="BF43" s="301"/>
      <c r="BG43" s="301"/>
      <c r="BH43" s="301"/>
      <c r="BI43" s="301"/>
      <c r="BJ43" s="301"/>
      <c r="BK43" s="301"/>
      <c r="BL43" s="301"/>
      <c r="BM43" s="301"/>
      <c r="BN43" s="301"/>
      <c r="BO43" s="301">
        <v>5</v>
      </c>
      <c r="BP43" s="318" t="s">
        <v>91</v>
      </c>
      <c r="BQ43" s="301">
        <v>5</v>
      </c>
      <c r="BR43" s="319">
        <v>0</v>
      </c>
      <c r="BS43" s="318">
        <v>1</v>
      </c>
      <c r="BT43" s="301"/>
      <c r="BU43" s="301"/>
      <c r="BV43" s="320">
        <v>43638.666666666664</v>
      </c>
      <c r="BW43" s="301"/>
      <c r="BX43" s="301"/>
      <c r="BY43" s="301"/>
      <c r="BZ43" s="301"/>
      <c r="CA43" s="301"/>
      <c r="CB43" s="301"/>
      <c r="CC43" s="301"/>
      <c r="CD43" s="301"/>
      <c r="CE43" s="301"/>
      <c r="CF43" s="301"/>
      <c r="CG43" s="301"/>
      <c r="CH43" s="301"/>
      <c r="CI43" s="301"/>
      <c r="CJ43" s="301"/>
      <c r="CK43" s="301"/>
      <c r="CL43" s="301"/>
      <c r="CM43" s="301"/>
      <c r="CN43" s="301"/>
      <c r="CO43" s="301"/>
      <c r="CP43" s="301"/>
      <c r="CQ43" s="301"/>
      <c r="CR43" s="301"/>
      <c r="CS43" s="301"/>
      <c r="CT43" s="301"/>
      <c r="CU43" s="301"/>
      <c r="CV43" s="301"/>
      <c r="CW43" s="301"/>
      <c r="CX43" s="301"/>
      <c r="CY43" s="301"/>
      <c r="CZ43" s="301"/>
      <c r="DA43" s="301"/>
      <c r="DB43" s="301"/>
      <c r="DC43" s="301"/>
      <c r="DD43" s="301"/>
      <c r="DE43" s="301"/>
      <c r="DF43" s="301"/>
      <c r="DG43" s="301"/>
      <c r="DH43" s="301"/>
      <c r="DI43" s="301"/>
      <c r="DJ43" s="301"/>
      <c r="DK43" s="301"/>
      <c r="DL43" s="301"/>
      <c r="DM43" s="301"/>
      <c r="DN43" s="301"/>
      <c r="DO43" s="301"/>
      <c r="DP43" s="301"/>
      <c r="DQ43" s="301"/>
    </row>
    <row r="44" spans="1:121 2451:2451" s="321" customFormat="1" ht="15" thickBot="1">
      <c r="A44" s="285"/>
      <c r="B44" s="285"/>
      <c r="C44" s="285"/>
      <c r="D44" s="301"/>
      <c r="E44" s="279"/>
      <c r="F44" s="280" t="str">
        <f>F3</f>
        <v>Fecha</v>
      </c>
      <c r="G44" s="280" t="str">
        <f t="shared" ref="G44" si="29">G3</f>
        <v>Hora</v>
      </c>
      <c r="H44" s="281"/>
      <c r="I44" s="322" t="s">
        <v>2</v>
      </c>
      <c r="J44" s="323" t="s">
        <v>18</v>
      </c>
      <c r="K44" s="324" t="s">
        <v>24</v>
      </c>
      <c r="L44" s="324" t="s">
        <v>24</v>
      </c>
      <c r="M44" s="323" t="s">
        <v>18</v>
      </c>
      <c r="N44" s="325" t="s">
        <v>4</v>
      </c>
      <c r="O44" s="316"/>
      <c r="P44" s="316"/>
      <c r="Q44" s="317"/>
      <c r="R44" s="317"/>
      <c r="S44" s="317"/>
      <c r="T44" s="317"/>
      <c r="U44" s="317"/>
      <c r="V44" s="317"/>
      <c r="W44" s="317"/>
      <c r="X44" s="317"/>
      <c r="Y44" s="317"/>
      <c r="Z44" s="317"/>
      <c r="AA44" s="317"/>
      <c r="AB44" s="317"/>
      <c r="AC44" s="317"/>
      <c r="AD44" s="278"/>
      <c r="AE44" s="278"/>
      <c r="AF44" s="279"/>
      <c r="AG44" s="301"/>
      <c r="AH44" s="301"/>
      <c r="AI44" s="301"/>
      <c r="AJ44" s="301"/>
      <c r="AK44" s="301"/>
      <c r="AL44" s="301"/>
      <c r="AM44" s="301"/>
      <c r="AN44" s="301"/>
      <c r="AO44" s="301"/>
      <c r="AP44" s="301"/>
      <c r="AQ44" s="301"/>
      <c r="AR44" s="301"/>
      <c r="AS44" s="301"/>
      <c r="AT44" s="301"/>
      <c r="AU44" s="301"/>
      <c r="AV44" s="301"/>
      <c r="AW44" s="301"/>
      <c r="AX44" s="301"/>
      <c r="AY44" s="301"/>
      <c r="AZ44" s="301"/>
      <c r="BA44" s="301"/>
      <c r="BB44" s="301"/>
      <c r="BC44" s="301"/>
      <c r="BD44" s="301"/>
      <c r="BE44" s="301"/>
      <c r="BF44" s="301"/>
      <c r="BG44" s="301"/>
      <c r="BH44" s="301"/>
      <c r="BI44" s="301"/>
      <c r="BJ44" s="301"/>
      <c r="BK44" s="301"/>
      <c r="BL44" s="301"/>
      <c r="BM44" s="301"/>
      <c r="BN44" s="301"/>
      <c r="BO44" s="301">
        <v>6</v>
      </c>
      <c r="BP44" s="318" t="s">
        <v>47</v>
      </c>
      <c r="BQ44" s="301">
        <v>6</v>
      </c>
      <c r="BR44" s="319">
        <v>8.3333333333333329E-2</v>
      </c>
      <c r="BS44" s="318">
        <v>-1</v>
      </c>
      <c r="BT44" s="301"/>
      <c r="BU44" s="301"/>
      <c r="BV44" s="320">
        <v>43638.666666666664</v>
      </c>
      <c r="BW44" s="301"/>
      <c r="BX44" s="301"/>
      <c r="BY44" s="301"/>
      <c r="BZ44" s="301"/>
      <c r="CA44" s="301"/>
      <c r="CB44" s="301"/>
      <c r="CC44" s="301"/>
      <c r="CD44" s="301"/>
      <c r="CE44" s="301"/>
      <c r="CF44" s="301"/>
      <c r="CG44" s="301"/>
      <c r="CH44" s="301"/>
      <c r="CI44" s="301"/>
      <c r="CJ44" s="301"/>
      <c r="CK44" s="301"/>
      <c r="CL44" s="301"/>
      <c r="CM44" s="301"/>
      <c r="CN44" s="301"/>
      <c r="CO44" s="301"/>
      <c r="CP44" s="301"/>
      <c r="CQ44" s="301"/>
      <c r="CR44" s="301"/>
      <c r="CS44" s="301"/>
      <c r="CT44" s="301"/>
      <c r="CU44" s="301"/>
      <c r="CV44" s="301"/>
      <c r="CW44" s="301"/>
      <c r="CX44" s="301"/>
      <c r="CY44" s="301"/>
      <c r="CZ44" s="301"/>
      <c r="DA44" s="301"/>
      <c r="DB44" s="301"/>
      <c r="DC44" s="301"/>
      <c r="DD44" s="301"/>
      <c r="DE44" s="301"/>
      <c r="DF44" s="301"/>
      <c r="DG44" s="301"/>
      <c r="DH44" s="301"/>
      <c r="DI44" s="301"/>
      <c r="DJ44" s="301"/>
      <c r="DK44" s="301"/>
      <c r="DL44" s="301"/>
      <c r="DM44" s="301"/>
      <c r="DN44" s="301"/>
      <c r="DO44" s="301"/>
      <c r="DP44" s="301"/>
      <c r="DQ44" s="301"/>
    </row>
    <row r="45" spans="1:121 2451:2451" ht="15" customHeight="1">
      <c r="A45" s="285"/>
      <c r="B45" s="285"/>
      <c r="C45" s="285"/>
      <c r="D45" s="301"/>
      <c r="E45" s="426" t="s">
        <v>107</v>
      </c>
      <c r="F45" s="369">
        <v>43648</v>
      </c>
      <c r="G45" s="370">
        <f>BV65+VLOOKUP($G$2,$BO$39:$BS$51,4,0)*VLOOKUP($G$2,$BO$39:$BS$51,5,0)</f>
        <v>43648.895833333336</v>
      </c>
      <c r="H45" s="392"/>
      <c r="I45" s="372" t="str">
        <f>IF(AND(OR(K39="",L39="")),"WC1",IF(K39&gt;L39,I39,IF(K39&lt;L39,N39,IF(AND(K39=L39,J39=M39),"WC1",IF(AND(K39=L39,OR(J39="",M39="")),"WC1",IF(AND(K39=L39,J39&gt;M39),I39,N39))))))</f>
        <v>WC1</v>
      </c>
      <c r="J45" s="393"/>
      <c r="K45" s="394">
        <v>0</v>
      </c>
      <c r="L45" s="394">
        <v>0</v>
      </c>
      <c r="M45" s="393"/>
      <c r="N45" s="395" t="str">
        <f>IF(AND(OR(K40="",L40="")),"WC2",IF(K40&gt;L40,I40,IF(K40&lt;L40,N40,IF(AND(K40=L40,J40=M40),"WC2",IF(AND(K40=L40,OR(J40="",M40="")),"WC2",IF(AND(K40=L40,J40&gt;M40),I40,N40))))))</f>
        <v>WC2</v>
      </c>
      <c r="O45" s="336">
        <f>IF(I52="WS1",0,1)</f>
        <v>0</v>
      </c>
      <c r="P45" s="316"/>
      <c r="Q45" s="317"/>
      <c r="R45" s="317"/>
      <c r="S45" s="317"/>
      <c r="T45" s="317"/>
      <c r="U45" s="317"/>
      <c r="V45" s="317"/>
      <c r="W45" s="317"/>
      <c r="X45" s="317"/>
      <c r="Y45" s="317"/>
      <c r="Z45" s="317"/>
      <c r="AA45" s="317"/>
      <c r="AB45" s="317"/>
      <c r="AC45" s="317"/>
      <c r="AD45" s="357"/>
      <c r="AE45" s="357"/>
      <c r="AF45" s="247"/>
      <c r="AG45" s="226"/>
      <c r="AH45" s="226"/>
      <c r="AI45" s="226"/>
      <c r="AJ45" s="226"/>
      <c r="AK45" s="226"/>
      <c r="AL45" s="226"/>
      <c r="AM45" s="226"/>
      <c r="AN45" s="226"/>
      <c r="AO45" s="226"/>
      <c r="AP45" s="226"/>
      <c r="AQ45" s="226"/>
      <c r="AR45" s="226"/>
      <c r="AS45" s="226"/>
      <c r="AT45" s="226"/>
      <c r="AU45" s="226"/>
      <c r="AV45" s="226"/>
      <c r="AW45" s="226"/>
      <c r="AX45" s="226"/>
      <c r="AY45" s="226"/>
      <c r="AZ45" s="226"/>
      <c r="BA45" s="226"/>
      <c r="BB45" s="226"/>
      <c r="BC45" s="226"/>
      <c r="BD45" s="226"/>
      <c r="BE45" s="226"/>
      <c r="BF45" s="226"/>
      <c r="BG45" s="226"/>
      <c r="BH45" s="226"/>
      <c r="BI45" s="226"/>
      <c r="BJ45" s="226"/>
      <c r="BK45" s="226"/>
      <c r="BL45" s="226"/>
      <c r="BM45" s="226"/>
      <c r="BN45" s="226"/>
      <c r="BO45" s="226">
        <v>7</v>
      </c>
      <c r="BP45" s="227" t="s">
        <v>92</v>
      </c>
      <c r="BQ45" s="226">
        <v>7</v>
      </c>
      <c r="BR45" s="245">
        <v>8.3333333333333329E-2</v>
      </c>
      <c r="BS45" s="227">
        <v>-1</v>
      </c>
      <c r="BT45" s="226"/>
      <c r="BU45" s="226"/>
      <c r="BV45" s="236" t="s">
        <v>117</v>
      </c>
      <c r="BW45" s="226"/>
      <c r="BX45" s="226"/>
      <c r="BY45" s="226"/>
      <c r="BZ45" s="226"/>
      <c r="CA45" s="226"/>
      <c r="CB45" s="226"/>
      <c r="CC45" s="226"/>
      <c r="CD45" s="226"/>
      <c r="CE45" s="226"/>
      <c r="CF45" s="226"/>
      <c r="CG45" s="226"/>
      <c r="CH45" s="226"/>
      <c r="CI45" s="226"/>
      <c r="CJ45" s="226"/>
      <c r="CK45" s="226"/>
      <c r="CL45" s="226"/>
      <c r="CM45" s="226"/>
      <c r="CN45" s="226"/>
      <c r="CO45" s="226"/>
      <c r="CP45" s="226"/>
      <c r="CQ45" s="226"/>
      <c r="CR45" s="226"/>
      <c r="CS45" s="226"/>
      <c r="CT45" s="226"/>
      <c r="CU45" s="226"/>
      <c r="CV45" s="226"/>
      <c r="CW45" s="226"/>
      <c r="CX45" s="226"/>
      <c r="CY45" s="226"/>
      <c r="CZ45" s="226"/>
      <c r="DA45" s="226"/>
      <c r="DB45" s="226"/>
      <c r="DC45" s="226"/>
      <c r="DD45" s="226"/>
      <c r="DE45" s="226"/>
      <c r="DF45" s="226"/>
      <c r="DG45" s="226"/>
      <c r="DH45" s="226"/>
      <c r="DI45" s="226"/>
      <c r="DJ45" s="226"/>
      <c r="DK45" s="226"/>
      <c r="DL45" s="226"/>
      <c r="DM45" s="226"/>
      <c r="DN45" s="226"/>
      <c r="DO45" s="226"/>
      <c r="DP45" s="226"/>
      <c r="DQ45" s="226"/>
    </row>
    <row r="46" spans="1:121 2451:2451" ht="15" thickBot="1">
      <c r="A46" s="285"/>
      <c r="B46" s="285"/>
      <c r="C46" s="285"/>
      <c r="D46" s="301"/>
      <c r="E46" s="427"/>
      <c r="F46" s="396">
        <v>43649</v>
      </c>
      <c r="G46" s="397">
        <f>BV66+VLOOKUP($G$2,$BO$39:$BS$51,4,0)*VLOOKUP($G$2,$BO$39:$BS$51,5,0)</f>
        <v>43649.895833333336</v>
      </c>
      <c r="H46" s="385"/>
      <c r="I46" s="388" t="str">
        <f>IF(AND(OR(K41="",L41="")),"WC3",IF(K41&gt;L41,I41,IF(K41&lt;L41,N41,IF(AND(K41=L41,J41=M41),"WC3",IF(AND(K41=L41,OR(J41="",M41="")),"WC3",IF(AND(K41=L41,J41&gt;M41),I41,N41))))))</f>
        <v>WC3</v>
      </c>
      <c r="J46" s="398"/>
      <c r="K46" s="399">
        <v>0</v>
      </c>
      <c r="L46" s="399">
        <v>0</v>
      </c>
      <c r="M46" s="398"/>
      <c r="N46" s="400" t="str">
        <f>IF(AND(OR(K42="",L42="")),"WC4",IF(K42&gt;L42,I42,IF(K42&lt;L42,N42,IF(AND(K42=L42,J42=M42),"WC4",IF(AND(K42=L42,OR(J42="",M42="")),"WC4",IF(AND(K42=L42,J42&gt;M42),I42,N42))))))</f>
        <v>WC4</v>
      </c>
      <c r="O46" s="336">
        <f>IF(N52="WS2",0,1)</f>
        <v>0</v>
      </c>
      <c r="P46" s="316"/>
      <c r="Q46" s="317"/>
      <c r="R46" s="317"/>
      <c r="S46" s="317"/>
      <c r="T46" s="317"/>
      <c r="U46" s="317"/>
      <c r="V46" s="317"/>
      <c r="W46" s="317"/>
      <c r="X46" s="317"/>
      <c r="Y46" s="317"/>
      <c r="Z46" s="317"/>
      <c r="AA46" s="317"/>
      <c r="AB46" s="317"/>
      <c r="AC46" s="317"/>
      <c r="AD46" s="321"/>
      <c r="AE46" s="321"/>
      <c r="AF46" s="247"/>
      <c r="AG46" s="226"/>
      <c r="AH46" s="226"/>
      <c r="AI46" s="226"/>
      <c r="AJ46" s="226"/>
      <c r="AK46" s="226"/>
      <c r="AL46" s="226"/>
      <c r="AM46" s="226"/>
      <c r="AN46" s="226"/>
      <c r="AO46" s="226"/>
      <c r="AP46" s="226"/>
      <c r="AQ46" s="226"/>
      <c r="AR46" s="226"/>
      <c r="AS46" s="226"/>
      <c r="AT46" s="226"/>
      <c r="AU46" s="226"/>
      <c r="AV46" s="226"/>
      <c r="AW46" s="226"/>
      <c r="AX46" s="226"/>
      <c r="AY46" s="226"/>
      <c r="AZ46" s="226"/>
      <c r="BA46" s="226"/>
      <c r="BB46" s="226"/>
      <c r="BC46" s="226"/>
      <c r="BD46" s="226"/>
      <c r="BE46" s="226"/>
      <c r="BF46" s="226"/>
      <c r="BG46" s="226"/>
      <c r="BH46" s="226"/>
      <c r="BI46" s="248"/>
      <c r="BJ46" s="226"/>
      <c r="BK46" s="226"/>
      <c r="BL46" s="226"/>
      <c r="BM46" s="226"/>
      <c r="BN46" s="226"/>
      <c r="BO46" s="226">
        <v>8</v>
      </c>
      <c r="BP46" s="227" t="s">
        <v>113</v>
      </c>
      <c r="BQ46" s="226">
        <v>8</v>
      </c>
      <c r="BR46" s="245">
        <v>0.70833333333333337</v>
      </c>
      <c r="BS46" s="227">
        <v>-1</v>
      </c>
      <c r="BT46" s="226"/>
      <c r="BU46" s="226"/>
      <c r="BV46" s="222">
        <v>43631.791666666664</v>
      </c>
      <c r="BW46" s="226"/>
      <c r="BX46" s="226"/>
      <c r="BY46" s="226"/>
      <c r="BZ46" s="226"/>
      <c r="CA46" s="226"/>
      <c r="CB46" s="226"/>
      <c r="CC46" s="226"/>
      <c r="CD46" s="226"/>
      <c r="CE46" s="226"/>
      <c r="CF46" s="226"/>
      <c r="CG46" s="226"/>
      <c r="CH46" s="226"/>
      <c r="CI46" s="226"/>
      <c r="CJ46" s="226"/>
      <c r="CK46" s="226"/>
      <c r="CL46" s="226"/>
      <c r="CM46" s="226"/>
      <c r="CN46" s="226"/>
      <c r="CO46" s="226"/>
      <c r="CP46" s="226"/>
      <c r="CQ46" s="226"/>
      <c r="CR46" s="226"/>
      <c r="CS46" s="226"/>
      <c r="CT46" s="226"/>
      <c r="CU46" s="226"/>
      <c r="CV46" s="226"/>
      <c r="CW46" s="226"/>
      <c r="CX46" s="226"/>
      <c r="CY46" s="226"/>
      <c r="CZ46" s="226"/>
      <c r="DA46" s="226"/>
      <c r="DB46" s="226"/>
      <c r="DC46" s="226"/>
      <c r="DD46" s="226"/>
      <c r="DE46" s="226"/>
      <c r="DF46" s="226"/>
      <c r="DG46" s="226"/>
      <c r="DH46" s="226"/>
      <c r="DI46" s="226"/>
      <c r="DJ46" s="226"/>
      <c r="DK46" s="226"/>
      <c r="DL46" s="226"/>
      <c r="DM46" s="226"/>
      <c r="DN46" s="226"/>
      <c r="DO46" s="226"/>
      <c r="DP46" s="226"/>
      <c r="DQ46" s="226"/>
    </row>
    <row r="47" spans="1:121 2451:2451" s="321" customFormat="1">
      <c r="A47" s="285"/>
      <c r="B47" s="285"/>
      <c r="C47" s="285"/>
      <c r="D47" s="301"/>
      <c r="E47" s="273" t="s">
        <v>157</v>
      </c>
      <c r="F47" s="312"/>
      <c r="G47" s="273"/>
      <c r="H47" s="273"/>
      <c r="I47" s="273"/>
      <c r="J47" s="272"/>
      <c r="K47" s="272"/>
      <c r="L47" s="272"/>
      <c r="M47" s="272"/>
      <c r="N47" s="272"/>
      <c r="O47" s="316"/>
      <c r="P47" s="316"/>
      <c r="Q47" s="317"/>
      <c r="R47" s="317"/>
      <c r="S47" s="317"/>
      <c r="T47" s="317"/>
      <c r="U47" s="317"/>
      <c r="V47" s="317"/>
      <c r="W47" s="317"/>
      <c r="X47" s="317"/>
      <c r="Y47" s="317"/>
      <c r="Z47" s="317"/>
      <c r="AA47" s="317"/>
      <c r="AB47" s="317"/>
      <c r="AC47" s="317"/>
      <c r="AF47" s="326"/>
      <c r="AG47" s="301"/>
      <c r="AH47" s="301"/>
      <c r="AI47" s="301"/>
      <c r="AJ47" s="301"/>
      <c r="AK47" s="301"/>
      <c r="AL47" s="301"/>
      <c r="AM47" s="301"/>
      <c r="AN47" s="301"/>
      <c r="AO47" s="301"/>
      <c r="AP47" s="301"/>
      <c r="AQ47" s="301"/>
      <c r="AR47" s="301"/>
      <c r="AS47" s="301"/>
      <c r="AT47" s="301"/>
      <c r="AU47" s="301"/>
      <c r="AV47" s="301"/>
      <c r="AW47" s="301"/>
      <c r="AX47" s="301"/>
      <c r="AY47" s="301"/>
      <c r="AZ47" s="301"/>
      <c r="BA47" s="301"/>
      <c r="BB47" s="301"/>
      <c r="BC47" s="301"/>
      <c r="BD47" s="301"/>
      <c r="BE47" s="301"/>
      <c r="BF47" s="301"/>
      <c r="BG47" s="301"/>
      <c r="BH47" s="301"/>
      <c r="BI47" s="327"/>
      <c r="BJ47" s="301"/>
      <c r="BK47" s="301"/>
      <c r="BL47" s="301"/>
      <c r="BM47" s="301"/>
      <c r="BN47" s="301"/>
      <c r="BO47" s="301">
        <v>9</v>
      </c>
      <c r="BP47" s="318" t="s">
        <v>49</v>
      </c>
      <c r="BQ47" s="301">
        <v>9</v>
      </c>
      <c r="BR47" s="319">
        <v>0.5</v>
      </c>
      <c r="BS47" s="318">
        <v>1</v>
      </c>
      <c r="BT47" s="301"/>
      <c r="BU47" s="301"/>
      <c r="BV47" s="320">
        <v>43632.666666666664</v>
      </c>
      <c r="BW47" s="301"/>
      <c r="BX47" s="301"/>
      <c r="BY47" s="301"/>
      <c r="BZ47" s="301"/>
      <c r="CA47" s="301"/>
      <c r="CB47" s="301"/>
      <c r="CC47" s="301"/>
      <c r="CD47" s="301"/>
      <c r="CE47" s="301"/>
      <c r="CF47" s="301"/>
      <c r="CG47" s="301"/>
      <c r="CH47" s="301"/>
      <c r="CI47" s="301"/>
      <c r="CJ47" s="301"/>
      <c r="CK47" s="301"/>
      <c r="CL47" s="301"/>
      <c r="CM47" s="301"/>
      <c r="CN47" s="301"/>
      <c r="CO47" s="301"/>
      <c r="CP47" s="301"/>
      <c r="CQ47" s="301"/>
      <c r="CR47" s="301"/>
      <c r="CS47" s="301"/>
      <c r="CT47" s="301"/>
      <c r="CU47" s="301"/>
      <c r="CV47" s="301"/>
      <c r="CW47" s="301"/>
      <c r="CX47" s="301"/>
      <c r="CY47" s="301"/>
      <c r="CZ47" s="301"/>
      <c r="DA47" s="301"/>
      <c r="DB47" s="301"/>
      <c r="DC47" s="301"/>
      <c r="DD47" s="301"/>
      <c r="DE47" s="301"/>
      <c r="DF47" s="301"/>
      <c r="DG47" s="301"/>
      <c r="DH47" s="301"/>
      <c r="DI47" s="301"/>
      <c r="DJ47" s="301"/>
      <c r="DK47" s="301"/>
      <c r="DL47" s="301"/>
      <c r="DM47" s="301"/>
      <c r="DN47" s="301"/>
      <c r="DO47" s="301"/>
      <c r="DP47" s="301"/>
      <c r="DQ47" s="301"/>
    </row>
    <row r="48" spans="1:121 2451:2451" s="321" customFormat="1" ht="15" thickBot="1">
      <c r="A48" s="285"/>
      <c r="B48" s="285"/>
      <c r="C48" s="285"/>
      <c r="D48" s="301"/>
      <c r="E48" s="279"/>
      <c r="F48" s="280" t="str">
        <f>F3</f>
        <v>Fecha</v>
      </c>
      <c r="G48" s="280" t="str">
        <f t="shared" ref="G48" si="30">G3</f>
        <v>Hora</v>
      </c>
      <c r="H48" s="281"/>
      <c r="I48" s="322" t="s">
        <v>2</v>
      </c>
      <c r="J48" s="323" t="s">
        <v>18</v>
      </c>
      <c r="K48" s="324" t="s">
        <v>24</v>
      </c>
      <c r="L48" s="324" t="s">
        <v>24</v>
      </c>
      <c r="M48" s="323" t="s">
        <v>18</v>
      </c>
      <c r="N48" s="325" t="s">
        <v>4</v>
      </c>
      <c r="O48" s="316"/>
      <c r="P48" s="316"/>
      <c r="AF48" s="326"/>
      <c r="AG48" s="301"/>
      <c r="AH48" s="301"/>
      <c r="AI48" s="301"/>
      <c r="AJ48" s="301"/>
      <c r="AK48" s="301"/>
      <c r="AL48" s="301"/>
      <c r="AM48" s="301"/>
      <c r="AN48" s="301"/>
      <c r="AO48" s="301"/>
      <c r="AP48" s="301"/>
      <c r="AQ48" s="301"/>
      <c r="AR48" s="301"/>
      <c r="AS48" s="301"/>
      <c r="AT48" s="301"/>
      <c r="AU48" s="301"/>
      <c r="AV48" s="301"/>
      <c r="AW48" s="301"/>
      <c r="AX48" s="301"/>
      <c r="AY48" s="301"/>
      <c r="AZ48" s="301"/>
      <c r="BA48" s="301"/>
      <c r="BB48" s="301"/>
      <c r="BC48" s="301"/>
      <c r="BD48" s="301"/>
      <c r="BE48" s="301"/>
      <c r="BF48" s="301"/>
      <c r="BG48" s="301"/>
      <c r="BH48" s="301"/>
      <c r="BI48" s="327"/>
      <c r="BJ48" s="301"/>
      <c r="BK48" s="301"/>
      <c r="BL48" s="301"/>
      <c r="BM48" s="301"/>
      <c r="BN48" s="328"/>
      <c r="BO48" s="301">
        <v>10</v>
      </c>
      <c r="BP48" s="318" t="s">
        <v>93</v>
      </c>
      <c r="BQ48" s="301">
        <v>10</v>
      </c>
      <c r="BR48" s="319">
        <v>0</v>
      </c>
      <c r="BS48" s="318">
        <v>1</v>
      </c>
      <c r="BT48" s="301"/>
      <c r="BU48" s="301"/>
      <c r="BV48" s="320">
        <v>43635.895833333336</v>
      </c>
      <c r="BW48" s="301"/>
      <c r="BX48" s="301"/>
      <c r="BY48" s="301"/>
      <c r="BZ48" s="301"/>
      <c r="CA48" s="301"/>
      <c r="CB48" s="301"/>
      <c r="CC48" s="301"/>
      <c r="CD48" s="301"/>
      <c r="CE48" s="301"/>
      <c r="CF48" s="301"/>
      <c r="CG48" s="301"/>
      <c r="CH48" s="301"/>
      <c r="CI48" s="301"/>
      <c r="CJ48" s="301"/>
      <c r="CK48" s="301"/>
      <c r="CL48" s="301"/>
      <c r="CM48" s="301"/>
      <c r="CN48" s="301"/>
      <c r="CO48" s="301"/>
      <c r="CP48" s="301"/>
      <c r="CQ48" s="301"/>
      <c r="CR48" s="301"/>
      <c r="CS48" s="301"/>
      <c r="CT48" s="301"/>
      <c r="CU48" s="301"/>
      <c r="CV48" s="301"/>
      <c r="CW48" s="301"/>
      <c r="CX48" s="301"/>
      <c r="CY48" s="301"/>
      <c r="CZ48" s="301"/>
      <c r="DA48" s="301"/>
      <c r="DB48" s="301"/>
      <c r="DC48" s="301"/>
      <c r="DD48" s="301"/>
      <c r="DE48" s="301"/>
      <c r="DF48" s="301"/>
      <c r="DG48" s="301"/>
      <c r="DH48" s="301"/>
      <c r="DI48" s="301"/>
      <c r="DJ48" s="301"/>
      <c r="DK48" s="301"/>
      <c r="DL48" s="301"/>
      <c r="DM48" s="301"/>
      <c r="DN48" s="301"/>
      <c r="DO48" s="301"/>
      <c r="DP48" s="301"/>
      <c r="DQ48" s="301"/>
      <c r="CPG48" s="329" t="s">
        <v>20</v>
      </c>
    </row>
    <row r="49" spans="1:121" ht="21" thickBot="1">
      <c r="A49" s="285"/>
      <c r="B49" s="285"/>
      <c r="C49" s="285"/>
      <c r="D49" s="301"/>
      <c r="E49" s="401" t="s">
        <v>109</v>
      </c>
      <c r="F49" s="402">
        <v>43652</v>
      </c>
      <c r="G49" s="403">
        <f>BV68+VLOOKUP($G$2,$BO$39:$BS$51,4,0)*VLOOKUP($G$2,$BO$39:$BS$51,5,0)</f>
        <v>43652.666666666664</v>
      </c>
      <c r="H49" s="404"/>
      <c r="I49" s="405" t="str">
        <f>IF(AND(OR(K45="",L45="")),"LS1",IF(K45&lt;L45,I45,IF(K45&gt;L45,N45,IF(AND(K45=L45,J45=M45),"LS1",IF(AND(K45=L45,OR(J45="",M45="")),"LS1",IF(AND(K45=L45,J45&lt;M45),I45,N45))))))</f>
        <v>LS1</v>
      </c>
      <c r="J49" s="406"/>
      <c r="K49" s="407"/>
      <c r="L49" s="407"/>
      <c r="M49" s="406"/>
      <c r="N49" s="408" t="str">
        <f>IF(AND(OR(K46="",L46="")),"LS2",IF(K46&lt;L46,I46,IF(K46&gt;L46,N46,IF(AND(K46=L46,J46=M46),"LS2",IF(AND(K46=L46,OR(J46="",M46="")),"LS2",IF(AND(K46=L46,J46&lt;M46),I46,N46))))))</f>
        <v>LS2</v>
      </c>
      <c r="O49" s="336">
        <f>IF(I57="W34",0,1)</f>
        <v>0</v>
      </c>
      <c r="P49" s="316"/>
      <c r="Q49" s="321"/>
      <c r="R49" s="321"/>
      <c r="S49" s="321"/>
      <c r="T49" s="321"/>
      <c r="U49" s="321"/>
      <c r="V49" s="321"/>
      <c r="W49" s="321"/>
      <c r="X49" s="321"/>
      <c r="Y49" s="321"/>
      <c r="Z49" s="321"/>
      <c r="AA49" s="321"/>
      <c r="AB49" s="321"/>
      <c r="AC49" s="321"/>
      <c r="AD49" s="321"/>
      <c r="AE49" s="321"/>
      <c r="AF49" s="225"/>
      <c r="AG49" s="226"/>
      <c r="AH49" s="226"/>
      <c r="AI49" s="226"/>
      <c r="AJ49" s="226"/>
      <c r="AK49" s="226"/>
      <c r="AL49" s="226"/>
      <c r="AM49" s="226"/>
      <c r="AN49" s="226"/>
      <c r="AO49" s="226"/>
      <c r="AP49" s="226"/>
      <c r="AQ49" s="226"/>
      <c r="AR49" s="226"/>
      <c r="AS49" s="226"/>
      <c r="AT49" s="226"/>
      <c r="AU49" s="226"/>
      <c r="AV49" s="226"/>
      <c r="AW49" s="226"/>
      <c r="AX49" s="226"/>
      <c r="AY49" s="226"/>
      <c r="AZ49" s="226"/>
      <c r="BA49" s="226"/>
      <c r="BB49" s="226"/>
      <c r="BC49" s="226"/>
      <c r="BD49" s="226"/>
      <c r="BE49" s="226"/>
      <c r="BF49" s="226"/>
      <c r="BG49" s="226"/>
      <c r="BH49" s="226"/>
      <c r="BI49" s="248"/>
      <c r="BJ49" s="226"/>
      <c r="BK49" s="226"/>
      <c r="BL49" s="226"/>
      <c r="BM49" s="226"/>
      <c r="BN49" s="226"/>
      <c r="BO49" s="226">
        <v>11</v>
      </c>
      <c r="BP49" s="227" t="s">
        <v>48</v>
      </c>
      <c r="BQ49" s="226">
        <v>11</v>
      </c>
      <c r="BR49" s="245">
        <v>8.3333333333333329E-2</v>
      </c>
      <c r="BS49" s="227">
        <v>-1</v>
      </c>
      <c r="BT49" s="226"/>
      <c r="BU49" s="226"/>
      <c r="BV49" s="222">
        <v>43635.770833333336</v>
      </c>
      <c r="BW49" s="226"/>
      <c r="BX49" s="226"/>
      <c r="BY49" s="226"/>
      <c r="BZ49" s="226"/>
      <c r="CA49" s="226"/>
      <c r="CB49" s="226"/>
      <c r="CC49" s="226"/>
      <c r="CD49" s="226"/>
      <c r="CE49" s="226"/>
      <c r="CF49" s="226"/>
      <c r="CG49" s="226"/>
      <c r="CH49" s="226"/>
      <c r="CI49" s="226"/>
      <c r="CJ49" s="226"/>
      <c r="CK49" s="226"/>
      <c r="CL49" s="226"/>
      <c r="CM49" s="226"/>
      <c r="CN49" s="226"/>
      <c r="CO49" s="226"/>
      <c r="CP49" s="226"/>
      <c r="CQ49" s="226"/>
      <c r="CR49" s="226"/>
      <c r="CS49" s="226"/>
      <c r="CT49" s="226"/>
      <c r="CU49" s="226"/>
      <c r="CV49" s="226"/>
      <c r="CW49" s="226"/>
      <c r="CX49" s="226"/>
      <c r="CY49" s="226"/>
      <c r="CZ49" s="226"/>
      <c r="DA49" s="226"/>
      <c r="DB49" s="226"/>
      <c r="DC49" s="226"/>
      <c r="DD49" s="226"/>
      <c r="DE49" s="226"/>
      <c r="DF49" s="226"/>
      <c r="DG49" s="226"/>
      <c r="DH49" s="226"/>
      <c r="DI49" s="226"/>
      <c r="DJ49" s="226"/>
      <c r="DK49" s="226"/>
      <c r="DL49" s="226"/>
      <c r="DM49" s="226"/>
      <c r="DN49" s="226"/>
      <c r="DO49" s="226"/>
      <c r="DP49" s="226"/>
      <c r="DQ49" s="226"/>
    </row>
    <row r="50" spans="1:121" s="321" customFormat="1">
      <c r="A50" s="285"/>
      <c r="B50" s="285"/>
      <c r="C50" s="285"/>
      <c r="D50" s="301"/>
      <c r="E50" s="273" t="s">
        <v>110</v>
      </c>
      <c r="F50" s="312"/>
      <c r="G50" s="273"/>
      <c r="H50" s="273"/>
      <c r="I50" s="273"/>
      <c r="J50" s="272"/>
      <c r="K50" s="272"/>
      <c r="L50" s="272"/>
      <c r="M50" s="272"/>
      <c r="N50" s="272"/>
      <c r="O50" s="330"/>
      <c r="P50" s="316"/>
      <c r="AF50" s="279"/>
      <c r="AG50" s="301"/>
      <c r="AH50" s="301"/>
      <c r="AI50" s="301"/>
      <c r="AJ50" s="301"/>
      <c r="AK50" s="301"/>
      <c r="AL50" s="301"/>
      <c r="AM50" s="301"/>
      <c r="AN50" s="301"/>
      <c r="AO50" s="301"/>
      <c r="AP50" s="301"/>
      <c r="AQ50" s="301"/>
      <c r="AR50" s="301"/>
      <c r="AS50" s="301"/>
      <c r="AT50" s="301"/>
      <c r="AU50" s="301"/>
      <c r="AV50" s="318"/>
      <c r="AW50" s="318"/>
      <c r="AX50" s="301"/>
      <c r="AY50" s="301"/>
      <c r="AZ50" s="301"/>
      <c r="BA50" s="301"/>
      <c r="BB50" s="301"/>
      <c r="BC50" s="301"/>
      <c r="BD50" s="301"/>
      <c r="BE50" s="301"/>
      <c r="BF50" s="301"/>
      <c r="BG50" s="301"/>
      <c r="BH50" s="301"/>
      <c r="BI50" s="327"/>
      <c r="BJ50" s="301"/>
      <c r="BK50" s="301"/>
      <c r="BL50" s="301"/>
      <c r="BM50" s="301"/>
      <c r="BN50" s="301"/>
      <c r="BO50" s="301">
        <v>12</v>
      </c>
      <c r="BP50" s="318" t="s">
        <v>94</v>
      </c>
      <c r="BQ50" s="301">
        <v>12</v>
      </c>
      <c r="BR50" s="319">
        <v>0</v>
      </c>
      <c r="BS50" s="318">
        <v>1</v>
      </c>
      <c r="BT50" s="301"/>
      <c r="BU50" s="301"/>
      <c r="BV50" s="320">
        <v>43639.666666666664</v>
      </c>
      <c r="BW50" s="318"/>
      <c r="BX50" s="318"/>
      <c r="BY50" s="318"/>
      <c r="BZ50" s="301"/>
      <c r="CA50" s="301"/>
      <c r="CB50" s="301"/>
      <c r="CC50" s="301"/>
      <c r="CD50" s="301"/>
      <c r="CE50" s="301"/>
      <c r="CF50" s="301"/>
      <c r="CG50" s="301"/>
      <c r="CH50" s="301"/>
      <c r="CI50" s="301"/>
      <c r="CJ50" s="301"/>
      <c r="CK50" s="301"/>
      <c r="CL50" s="301"/>
      <c r="CM50" s="301"/>
      <c r="CN50" s="301"/>
      <c r="CO50" s="301"/>
      <c r="CP50" s="301"/>
      <c r="CQ50" s="301"/>
      <c r="CR50" s="301"/>
      <c r="CS50" s="301"/>
      <c r="CT50" s="301"/>
      <c r="CU50" s="301"/>
      <c r="CV50" s="301"/>
      <c r="CW50" s="301"/>
      <c r="CX50" s="301"/>
      <c r="CY50" s="301"/>
      <c r="CZ50" s="301"/>
      <c r="DA50" s="301"/>
      <c r="DB50" s="301"/>
      <c r="DC50" s="301"/>
      <c r="DD50" s="301"/>
      <c r="DE50" s="301"/>
      <c r="DF50" s="301"/>
      <c r="DG50" s="301"/>
      <c r="DH50" s="301"/>
      <c r="DI50" s="301"/>
      <c r="DJ50" s="301"/>
      <c r="DK50" s="301"/>
      <c r="DL50" s="301"/>
      <c r="DM50" s="301"/>
      <c r="DN50" s="301"/>
      <c r="DO50" s="301"/>
      <c r="DP50" s="301"/>
      <c r="DQ50" s="301"/>
    </row>
    <row r="51" spans="1:121" s="321" customFormat="1" ht="15" thickBot="1">
      <c r="A51" s="285"/>
      <c r="B51" s="285"/>
      <c r="C51" s="285"/>
      <c r="D51" s="273"/>
      <c r="E51" s="279"/>
      <c r="F51" s="280" t="str">
        <f>F3</f>
        <v>Fecha</v>
      </c>
      <c r="G51" s="280" t="str">
        <f t="shared" ref="G51" si="31">G3</f>
        <v>Hora</v>
      </c>
      <c r="H51" s="281"/>
      <c r="I51" s="322" t="s">
        <v>2</v>
      </c>
      <c r="J51" s="323" t="s">
        <v>18</v>
      </c>
      <c r="K51" s="324" t="s">
        <v>24</v>
      </c>
      <c r="L51" s="324" t="s">
        <v>24</v>
      </c>
      <c r="M51" s="323" t="s">
        <v>18</v>
      </c>
      <c r="N51" s="325" t="s">
        <v>4</v>
      </c>
      <c r="O51" s="330"/>
      <c r="P51" s="274"/>
      <c r="AF51" s="318"/>
      <c r="AG51" s="318"/>
      <c r="AH51" s="318"/>
      <c r="AI51" s="318"/>
      <c r="AJ51" s="318"/>
      <c r="AK51" s="318"/>
      <c r="AL51" s="318"/>
      <c r="AM51" s="318"/>
      <c r="AN51" s="318"/>
      <c r="AO51" s="318"/>
      <c r="AP51" s="318"/>
      <c r="AQ51" s="318"/>
      <c r="AR51" s="318"/>
      <c r="AS51" s="318"/>
      <c r="AT51" s="318"/>
      <c r="AU51" s="318"/>
      <c r="AV51" s="318"/>
      <c r="AW51" s="318"/>
      <c r="AX51" s="318"/>
      <c r="AY51" s="318"/>
      <c r="AZ51" s="318"/>
      <c r="BA51" s="318"/>
      <c r="BB51" s="318"/>
      <c r="BC51" s="318"/>
      <c r="BD51" s="318"/>
      <c r="BE51" s="318"/>
      <c r="BF51" s="318"/>
      <c r="BG51" s="318"/>
      <c r="BH51" s="318"/>
      <c r="BI51" s="327"/>
      <c r="BJ51" s="318"/>
      <c r="BK51" s="318"/>
      <c r="BL51" s="318"/>
      <c r="BM51" s="318"/>
      <c r="BN51" s="318"/>
      <c r="BO51" s="301">
        <v>13</v>
      </c>
      <c r="BP51" s="318" t="s">
        <v>95</v>
      </c>
      <c r="BQ51" s="301">
        <v>13</v>
      </c>
      <c r="BR51" s="319">
        <v>4.1666666666666664E-2</v>
      </c>
      <c r="BS51" s="318">
        <v>-1</v>
      </c>
      <c r="BT51" s="318"/>
      <c r="BU51" s="318"/>
      <c r="BV51" s="320">
        <v>43639.666666666664</v>
      </c>
      <c r="BW51" s="318"/>
      <c r="BX51" s="318"/>
      <c r="BY51" s="318"/>
      <c r="BZ51" s="318"/>
      <c r="CA51" s="318"/>
      <c r="CB51" s="301"/>
      <c r="CC51" s="301"/>
      <c r="CD51" s="301"/>
      <c r="CE51" s="301"/>
      <c r="CF51" s="301"/>
      <c r="CG51" s="301"/>
      <c r="CH51" s="301"/>
      <c r="CI51" s="301"/>
      <c r="CJ51" s="301"/>
      <c r="CK51" s="301"/>
      <c r="CL51" s="301"/>
      <c r="CM51" s="301"/>
      <c r="CN51" s="301"/>
      <c r="CO51" s="301"/>
      <c r="CP51" s="301"/>
      <c r="CQ51" s="301"/>
      <c r="CR51" s="301"/>
      <c r="CS51" s="301"/>
      <c r="CT51" s="301"/>
      <c r="CU51" s="301"/>
      <c r="CV51" s="301"/>
      <c r="CW51" s="301"/>
      <c r="CX51" s="301"/>
      <c r="CY51" s="301"/>
      <c r="CZ51" s="301"/>
      <c r="DA51" s="301"/>
      <c r="DB51" s="301"/>
      <c r="DC51" s="301"/>
      <c r="DD51" s="301"/>
      <c r="DE51" s="301"/>
      <c r="DF51" s="301"/>
      <c r="DG51" s="301"/>
      <c r="DH51" s="301"/>
      <c r="DI51" s="301"/>
      <c r="DJ51" s="301"/>
      <c r="DK51" s="301"/>
      <c r="DL51" s="301"/>
      <c r="DM51" s="301"/>
      <c r="DN51" s="301"/>
      <c r="DO51" s="301"/>
      <c r="DP51" s="301"/>
      <c r="DQ51" s="301"/>
    </row>
    <row r="52" spans="1:121" ht="28" customHeight="1" thickBot="1">
      <c r="A52" s="285"/>
      <c r="B52" s="285"/>
      <c r="C52" s="285"/>
      <c r="D52" s="273"/>
      <c r="E52" s="409" t="s">
        <v>4</v>
      </c>
      <c r="F52" s="410">
        <v>43653</v>
      </c>
      <c r="G52" s="411">
        <f>BV70+VLOOKUP($G$2,$BO$39:$BS$51,4,0)*VLOOKUP($G$2,$BO$39:$BS$51,5,0)</f>
        <v>43653.708333333336</v>
      </c>
      <c r="H52" s="412"/>
      <c r="I52" s="413" t="str">
        <f>IF(AND(OR(K45="",L45="")),"WS1",IF(K45&gt;L45,I45,IF(K45&lt;L45,N45,IF(AND(K45=L45,J45=M45),"WS1",IF(AND(K45=L45,OR(J45="",M45="")),"WS1",IF(AND(K45=L45,J45&gt;M45),I45,N45))))))</f>
        <v>WS1</v>
      </c>
      <c r="J52" s="414"/>
      <c r="K52" s="415"/>
      <c r="L52" s="415"/>
      <c r="M52" s="414"/>
      <c r="N52" s="416" t="str">
        <f>IF(AND(OR(K46="",L46="")),"WS2",IF(K46&gt;L46,I46,IF(K46&lt;L46,N46,IF(AND(K46=L46,J46=M46),"WS2",IF(AND(K46=L46,OR(J46="",M46="")),"WS2",IF(AND(K46=L46,J46&gt;M46),I46,N46))))))</f>
        <v>WS2</v>
      </c>
      <c r="O52" s="336">
        <f>IF(I55="WF",0,1)</f>
        <v>0</v>
      </c>
      <c r="P52" s="274"/>
      <c r="Q52" s="274"/>
      <c r="R52" s="321"/>
      <c r="S52" s="321"/>
      <c r="T52" s="321"/>
      <c r="U52" s="321"/>
      <c r="V52" s="321"/>
      <c r="W52" s="321"/>
      <c r="X52" s="321"/>
      <c r="Y52" s="321"/>
      <c r="Z52" s="321"/>
      <c r="AA52" s="321"/>
      <c r="AB52" s="321"/>
      <c r="AC52" s="321"/>
      <c r="AD52" s="321"/>
      <c r="AE52" s="321"/>
      <c r="AF52" s="227"/>
      <c r="AG52" s="227"/>
      <c r="AH52" s="227"/>
      <c r="AI52" s="227"/>
      <c r="AJ52" s="227"/>
      <c r="AK52" s="227"/>
      <c r="AL52" s="227"/>
      <c r="AM52" s="227"/>
      <c r="AN52" s="227"/>
      <c r="AO52" s="227"/>
      <c r="AP52" s="227"/>
      <c r="AQ52" s="227"/>
      <c r="AR52" s="227"/>
      <c r="AS52" s="227"/>
      <c r="AT52" s="227"/>
      <c r="AU52" s="227"/>
      <c r="AV52" s="227"/>
      <c r="AW52" s="227"/>
      <c r="AX52" s="227"/>
      <c r="AY52" s="227"/>
      <c r="AZ52" s="227"/>
      <c r="BA52" s="227"/>
      <c r="BB52" s="227"/>
      <c r="BC52" s="227"/>
      <c r="BD52" s="227"/>
      <c r="BE52" s="227"/>
      <c r="BF52" s="227"/>
      <c r="BG52" s="227"/>
      <c r="BH52" s="227"/>
      <c r="BI52" s="248"/>
      <c r="BJ52" s="227"/>
      <c r="BK52" s="227"/>
      <c r="BL52" s="227"/>
      <c r="BM52" s="227"/>
      <c r="BN52" s="227"/>
      <c r="BO52" s="227"/>
      <c r="BP52" s="227"/>
      <c r="BQ52" s="227"/>
      <c r="BR52" s="227"/>
      <c r="BS52" s="227"/>
      <c r="BT52" s="227"/>
      <c r="BU52" s="227"/>
      <c r="BV52" s="237" t="s">
        <v>10</v>
      </c>
      <c r="BW52" s="227"/>
      <c r="BX52" s="227"/>
      <c r="BY52" s="227"/>
      <c r="BZ52" s="227"/>
      <c r="CA52" s="227"/>
      <c r="CB52" s="226"/>
      <c r="CC52" s="226"/>
      <c r="CD52" s="226"/>
      <c r="CE52" s="226"/>
      <c r="CF52" s="226"/>
      <c r="CG52" s="226"/>
      <c r="CH52" s="226"/>
      <c r="CI52" s="226"/>
      <c r="CJ52" s="226"/>
      <c r="CK52" s="226"/>
      <c r="CL52" s="226"/>
      <c r="CM52" s="226"/>
      <c r="CN52" s="226"/>
      <c r="CO52" s="226"/>
      <c r="CP52" s="226"/>
      <c r="CQ52" s="226"/>
      <c r="CR52" s="226"/>
      <c r="CS52" s="226"/>
      <c r="CT52" s="226"/>
      <c r="CU52" s="226"/>
      <c r="CV52" s="226"/>
      <c r="CW52" s="226"/>
      <c r="CX52" s="226"/>
      <c r="CY52" s="226"/>
      <c r="CZ52" s="226"/>
      <c r="DA52" s="226"/>
      <c r="DB52" s="226"/>
      <c r="DC52" s="226"/>
      <c r="DD52" s="226"/>
      <c r="DE52" s="226"/>
      <c r="DF52" s="226"/>
      <c r="DG52" s="226"/>
      <c r="DH52" s="226"/>
      <c r="DI52" s="226"/>
      <c r="DJ52" s="226"/>
      <c r="DK52" s="226"/>
      <c r="DL52" s="226"/>
      <c r="DM52" s="226"/>
      <c r="DN52" s="226"/>
      <c r="DO52" s="226"/>
      <c r="DP52" s="226"/>
      <c r="DQ52" s="226"/>
    </row>
    <row r="53" spans="1:121" s="321" customFormat="1">
      <c r="A53" s="285"/>
      <c r="B53" s="285"/>
      <c r="C53" s="285"/>
      <c r="D53" s="273"/>
      <c r="E53" s="273"/>
      <c r="F53" s="273"/>
      <c r="G53" s="273"/>
      <c r="H53" s="273"/>
      <c r="I53" s="273"/>
      <c r="J53" s="273"/>
      <c r="K53" s="273"/>
      <c r="L53" s="273"/>
      <c r="M53" s="273"/>
      <c r="N53" s="273"/>
      <c r="O53" s="273"/>
      <c r="P53" s="274"/>
      <c r="AF53" s="318"/>
      <c r="AG53" s="318"/>
      <c r="AH53" s="318"/>
      <c r="AI53" s="318"/>
      <c r="AJ53" s="318"/>
      <c r="AK53" s="318"/>
      <c r="AL53" s="318"/>
      <c r="AM53" s="318"/>
      <c r="AN53" s="318"/>
      <c r="AO53" s="318"/>
      <c r="AP53" s="318"/>
      <c r="AQ53" s="318"/>
      <c r="AR53" s="318"/>
      <c r="AS53" s="318"/>
      <c r="AT53" s="318"/>
      <c r="AU53" s="318"/>
      <c r="AV53" s="318"/>
      <c r="AW53" s="318"/>
      <c r="AX53" s="318"/>
      <c r="AY53" s="318"/>
      <c r="AZ53" s="318"/>
      <c r="BA53" s="318"/>
      <c r="BB53" s="318"/>
      <c r="BC53" s="318"/>
      <c r="BD53" s="318"/>
      <c r="BE53" s="318"/>
      <c r="BF53" s="318"/>
      <c r="BG53" s="318"/>
      <c r="BH53" s="318"/>
      <c r="BI53" s="327"/>
      <c r="BJ53" s="318"/>
      <c r="BK53" s="318"/>
      <c r="BL53" s="318"/>
      <c r="BM53" s="318"/>
      <c r="BN53" s="318"/>
      <c r="BO53" s="318"/>
      <c r="BP53" s="318"/>
      <c r="BQ53" s="318"/>
      <c r="BR53" s="318"/>
      <c r="BS53" s="318"/>
      <c r="BT53" s="318"/>
      <c r="BU53" s="318"/>
      <c r="BV53" s="320">
        <v>43632.791666666664</v>
      </c>
      <c r="BW53" s="318"/>
      <c r="BX53" s="318"/>
      <c r="BY53" s="318"/>
      <c r="BZ53" s="318"/>
      <c r="CA53" s="318"/>
      <c r="CB53" s="301"/>
      <c r="CC53" s="301"/>
      <c r="CD53" s="301"/>
      <c r="CE53" s="301"/>
      <c r="CF53" s="301"/>
      <c r="CG53" s="301"/>
      <c r="CH53" s="301"/>
      <c r="CI53" s="301"/>
      <c r="CJ53" s="301"/>
      <c r="CK53" s="301"/>
      <c r="CL53" s="301"/>
      <c r="CM53" s="301"/>
      <c r="CN53" s="301"/>
      <c r="CO53" s="301"/>
      <c r="CP53" s="301"/>
      <c r="CQ53" s="301"/>
      <c r="CR53" s="301"/>
      <c r="CS53" s="301"/>
      <c r="CT53" s="301"/>
      <c r="CU53" s="301"/>
      <c r="CV53" s="301"/>
      <c r="CW53" s="301"/>
      <c r="CX53" s="301"/>
      <c r="CY53" s="301"/>
      <c r="CZ53" s="301"/>
      <c r="DA53" s="301"/>
      <c r="DB53" s="301"/>
      <c r="DC53" s="301"/>
      <c r="DD53" s="301"/>
      <c r="DE53" s="301"/>
      <c r="DF53" s="301"/>
      <c r="DG53" s="301"/>
      <c r="DH53" s="301"/>
      <c r="DI53" s="301"/>
      <c r="DJ53" s="301"/>
      <c r="DK53" s="301"/>
      <c r="DL53" s="301"/>
      <c r="DM53" s="301"/>
      <c r="DN53" s="301"/>
      <c r="DO53" s="301"/>
      <c r="DP53" s="301"/>
      <c r="DQ53" s="301"/>
    </row>
    <row r="54" spans="1:121" s="321" customFormat="1" ht="15" thickBot="1">
      <c r="A54" s="285"/>
      <c r="B54" s="285"/>
      <c r="C54" s="285"/>
      <c r="D54" s="273"/>
      <c r="E54" s="331"/>
      <c r="F54" s="331"/>
      <c r="G54" s="331"/>
      <c r="H54" s="331"/>
      <c r="I54" s="296" t="s">
        <v>44</v>
      </c>
      <c r="J54" s="331"/>
      <c r="K54" s="331"/>
      <c r="L54" s="331"/>
      <c r="M54" s="331"/>
      <c r="N54" s="331"/>
      <c r="O54" s="331"/>
      <c r="P54" s="332"/>
      <c r="Q54" s="332"/>
      <c r="R54" s="332"/>
      <c r="S54" s="332"/>
      <c r="T54" s="332"/>
      <c r="U54" s="332"/>
      <c r="V54" s="332"/>
      <c r="W54" s="332"/>
      <c r="X54" s="332"/>
      <c r="Y54" s="332"/>
      <c r="Z54" s="332"/>
      <c r="AA54" s="332"/>
      <c r="AB54" s="274"/>
      <c r="AC54" s="274"/>
      <c r="AD54" s="274"/>
      <c r="AE54" s="274"/>
      <c r="AF54" s="318"/>
      <c r="AG54" s="318"/>
      <c r="AH54" s="318"/>
      <c r="AI54" s="318"/>
      <c r="AJ54" s="318"/>
      <c r="AK54" s="318"/>
      <c r="AL54" s="318"/>
      <c r="AM54" s="318"/>
      <c r="AN54" s="318"/>
      <c r="AO54" s="318"/>
      <c r="AP54" s="318"/>
      <c r="AQ54" s="318"/>
      <c r="AR54" s="318"/>
      <c r="AS54" s="318"/>
      <c r="AT54" s="318"/>
      <c r="AU54" s="318"/>
      <c r="AV54" s="318"/>
      <c r="AW54" s="318"/>
      <c r="AX54" s="318"/>
      <c r="AY54" s="318"/>
      <c r="AZ54" s="318"/>
      <c r="BA54" s="318"/>
      <c r="BB54" s="318"/>
      <c r="BC54" s="318"/>
      <c r="BD54" s="318"/>
      <c r="BE54" s="318"/>
      <c r="BF54" s="318"/>
      <c r="BG54" s="318"/>
      <c r="BH54" s="318"/>
      <c r="BI54" s="327"/>
      <c r="BJ54" s="318"/>
      <c r="BK54" s="318"/>
      <c r="BL54" s="318"/>
      <c r="BM54" s="318"/>
      <c r="BN54" s="318"/>
      <c r="BO54" s="318"/>
      <c r="BP54" s="318"/>
      <c r="BQ54" s="318"/>
      <c r="BR54" s="318"/>
      <c r="BS54" s="318"/>
      <c r="BT54" s="318"/>
      <c r="BU54" s="318"/>
      <c r="BV54" s="320">
        <v>43633.833333333336</v>
      </c>
      <c r="BW54" s="318"/>
      <c r="BX54" s="318"/>
      <c r="BY54" s="318"/>
      <c r="BZ54" s="318"/>
      <c r="CA54" s="318"/>
      <c r="CB54" s="301"/>
      <c r="CC54" s="301"/>
      <c r="CD54" s="301"/>
      <c r="CE54" s="301"/>
      <c r="CF54" s="301"/>
      <c r="CG54" s="301"/>
      <c r="CH54" s="301"/>
      <c r="CI54" s="301"/>
      <c r="CJ54" s="301"/>
      <c r="CK54" s="301"/>
      <c r="CL54" s="301"/>
      <c r="CM54" s="301"/>
      <c r="CN54" s="301"/>
      <c r="CO54" s="301"/>
      <c r="CP54" s="301"/>
      <c r="CQ54" s="301"/>
      <c r="CR54" s="301"/>
      <c r="CS54" s="301"/>
      <c r="CT54" s="301"/>
      <c r="CU54" s="301"/>
      <c r="CV54" s="301"/>
      <c r="CW54" s="301"/>
      <c r="CX54" s="301"/>
      <c r="CY54" s="301"/>
      <c r="CZ54" s="301"/>
      <c r="DA54" s="301"/>
      <c r="DB54" s="301"/>
      <c r="DC54" s="301"/>
      <c r="DD54" s="301"/>
      <c r="DE54" s="301"/>
      <c r="DF54" s="301"/>
      <c r="DG54" s="301"/>
      <c r="DH54" s="301"/>
      <c r="DI54" s="301"/>
      <c r="DJ54" s="301"/>
      <c r="DK54" s="301"/>
      <c r="DL54" s="301"/>
      <c r="DM54" s="301"/>
      <c r="DN54" s="301"/>
      <c r="DO54" s="301"/>
      <c r="DP54" s="301"/>
      <c r="DQ54" s="301"/>
    </row>
    <row r="55" spans="1:121" ht="18" customHeight="1">
      <c r="A55" s="285"/>
      <c r="B55" s="285"/>
      <c r="C55" s="285"/>
      <c r="D55" s="274"/>
      <c r="E55" s="417" t="s">
        <v>39</v>
      </c>
      <c r="F55" s="418"/>
      <c r="G55" s="418"/>
      <c r="H55" s="419"/>
      <c r="I55" s="443" t="str">
        <f>IF(AND(OR(K52="",L52="")),"WF",IF(K52&gt;L52,I52,IF(K52&lt;L52,N52,IF(AND(K52=L52,J52=M52),"WF",IF(AND(K52=L52,OR(J52="",M52="")),"WF",IF(AND(K52=L52,J52&gt;M52),I52,N52))))))</f>
        <v>WF</v>
      </c>
      <c r="J55" s="444"/>
      <c r="K55" s="444"/>
      <c r="L55" s="444"/>
      <c r="M55" s="444"/>
      <c r="N55" s="445"/>
      <c r="O55" s="336">
        <f>IF(I55="WF",0,1)</f>
        <v>0</v>
      </c>
      <c r="P55" s="332"/>
      <c r="Q55" s="332"/>
      <c r="R55" s="332"/>
      <c r="S55" s="332"/>
      <c r="T55" s="332"/>
      <c r="U55" s="332"/>
      <c r="V55" s="332"/>
      <c r="W55" s="332"/>
      <c r="X55" s="332"/>
      <c r="Y55" s="332"/>
      <c r="Z55" s="332"/>
      <c r="AA55" s="332"/>
      <c r="AB55" s="274"/>
      <c r="AC55" s="274"/>
      <c r="AD55" s="274"/>
      <c r="AE55" s="274"/>
      <c r="AF55" s="227"/>
      <c r="AG55" s="227"/>
      <c r="AH55" s="227"/>
      <c r="AI55" s="227"/>
      <c r="AJ55" s="227"/>
      <c r="AK55" s="227"/>
      <c r="AL55" s="227"/>
      <c r="AM55" s="227"/>
      <c r="AN55" s="227"/>
      <c r="AO55" s="227"/>
      <c r="AP55" s="227"/>
      <c r="AQ55" s="227"/>
      <c r="AR55" s="227"/>
      <c r="AS55" s="227"/>
      <c r="AT55" s="227"/>
      <c r="AU55" s="227"/>
      <c r="AV55" s="227"/>
      <c r="AW55" s="227"/>
      <c r="AX55" s="227"/>
      <c r="AY55" s="227"/>
      <c r="AZ55" s="227"/>
      <c r="BA55" s="227"/>
      <c r="BB55" s="227"/>
      <c r="BC55" s="227"/>
      <c r="BD55" s="227"/>
      <c r="BE55" s="227"/>
      <c r="BF55" s="227"/>
      <c r="BG55" s="227"/>
      <c r="BH55" s="227"/>
      <c r="BI55" s="248"/>
      <c r="BJ55" s="227"/>
      <c r="BK55" s="227"/>
      <c r="BL55" s="227"/>
      <c r="BM55" s="227"/>
      <c r="BN55" s="227"/>
      <c r="BO55" s="227"/>
      <c r="BP55" s="227"/>
      <c r="BQ55" s="227"/>
      <c r="BR55" s="227"/>
      <c r="BS55" s="227"/>
      <c r="BT55" s="227"/>
      <c r="BU55" s="227"/>
      <c r="BV55" s="222">
        <v>43636.833333333336</v>
      </c>
      <c r="BW55" s="227"/>
      <c r="BX55" s="227"/>
      <c r="BY55" s="227"/>
      <c r="BZ55" s="227"/>
      <c r="CA55" s="227"/>
      <c r="CB55" s="226"/>
      <c r="CC55" s="226"/>
      <c r="CD55" s="226"/>
      <c r="CE55" s="226"/>
      <c r="CF55" s="226"/>
      <c r="CG55" s="226"/>
      <c r="CH55" s="226"/>
      <c r="CI55" s="226"/>
      <c r="CJ55" s="226"/>
      <c r="CK55" s="226"/>
      <c r="CL55" s="226"/>
      <c r="CM55" s="226"/>
      <c r="CN55" s="226"/>
      <c r="CO55" s="226"/>
      <c r="CP55" s="226"/>
      <c r="CQ55" s="226"/>
      <c r="CR55" s="226"/>
      <c r="CS55" s="226"/>
      <c r="CT55" s="226"/>
      <c r="CU55" s="226"/>
      <c r="CV55" s="226"/>
      <c r="CW55" s="226"/>
      <c r="CX55" s="226"/>
      <c r="CY55" s="226"/>
      <c r="CZ55" s="226"/>
      <c r="DA55" s="226"/>
      <c r="DB55" s="226"/>
      <c r="DC55" s="226"/>
      <c r="DD55" s="226"/>
      <c r="DE55" s="226"/>
      <c r="DF55" s="226"/>
      <c r="DG55" s="226"/>
      <c r="DH55" s="226"/>
      <c r="DI55" s="226"/>
      <c r="DJ55" s="226"/>
      <c r="DK55" s="226"/>
      <c r="DL55" s="226"/>
      <c r="DM55" s="226"/>
      <c r="DN55" s="226"/>
      <c r="DO55" s="226"/>
      <c r="DP55" s="226"/>
      <c r="DQ55" s="226"/>
    </row>
    <row r="56" spans="1:121" s="33" customFormat="1" ht="15.5" customHeight="1">
      <c r="A56" s="285"/>
      <c r="B56" s="285"/>
      <c r="C56" s="285"/>
      <c r="D56" s="274"/>
      <c r="E56" s="420" t="s">
        <v>40</v>
      </c>
      <c r="F56" s="421"/>
      <c r="G56" s="421"/>
      <c r="H56" s="422"/>
      <c r="I56" s="446" t="str">
        <f>IF(AND(OR(K52="",L52="")),"LF",IF(K52&gt;L52,N52,IF(K52&lt;L52,I52,IF(AND(K52=L52,J52=M52),"LF",IF(AND(K52=L52,OR(J52="",M52="")),"LF",IF(AND(K52=L52,J52&gt;M52),N52,I52))))))</f>
        <v>LF</v>
      </c>
      <c r="J56" s="447"/>
      <c r="K56" s="447"/>
      <c r="L56" s="447"/>
      <c r="M56" s="447"/>
      <c r="N56" s="448"/>
      <c r="O56" s="336">
        <f>IF(I56="LF",0,1)</f>
        <v>0</v>
      </c>
      <c r="P56" s="332"/>
      <c r="Q56" s="332"/>
      <c r="R56" s="332"/>
      <c r="S56" s="332"/>
      <c r="T56" s="332"/>
      <c r="U56" s="332"/>
      <c r="V56" s="332"/>
      <c r="W56" s="332"/>
      <c r="X56" s="332"/>
      <c r="Y56" s="332"/>
      <c r="Z56" s="332"/>
      <c r="AA56" s="332"/>
      <c r="AB56" s="274"/>
      <c r="AC56" s="274"/>
      <c r="AD56" s="274"/>
      <c r="AE56" s="274"/>
      <c r="AF56" s="227"/>
      <c r="AG56" s="227"/>
      <c r="AH56" s="227"/>
      <c r="AI56" s="227"/>
      <c r="AJ56" s="227"/>
      <c r="AK56" s="227"/>
      <c r="AL56" s="227"/>
      <c r="AM56" s="227"/>
      <c r="AN56" s="227"/>
      <c r="AO56" s="227"/>
      <c r="AP56" s="227"/>
      <c r="AQ56" s="227"/>
      <c r="AR56" s="227"/>
      <c r="AS56" s="227"/>
      <c r="AT56" s="227"/>
      <c r="AU56" s="227"/>
      <c r="AV56" s="227"/>
      <c r="AW56" s="227"/>
      <c r="AX56" s="227"/>
      <c r="AY56" s="227"/>
      <c r="AZ56" s="227"/>
      <c r="BA56" s="227"/>
      <c r="BB56" s="227"/>
      <c r="BC56" s="227"/>
      <c r="BD56" s="227"/>
      <c r="BE56" s="227"/>
      <c r="BF56" s="227"/>
      <c r="BG56" s="227"/>
      <c r="BH56" s="227"/>
      <c r="BI56" s="248"/>
      <c r="BJ56" s="227"/>
      <c r="BK56" s="227"/>
      <c r="BL56" s="227"/>
      <c r="BM56" s="227"/>
      <c r="BN56" s="227"/>
      <c r="BO56" s="227"/>
      <c r="BP56" s="227"/>
      <c r="BQ56" s="227"/>
      <c r="BR56" s="227"/>
      <c r="BS56" s="227"/>
      <c r="BT56" s="227"/>
      <c r="BU56" s="227"/>
      <c r="BV56" s="222">
        <v>43637.833333333336</v>
      </c>
      <c r="BW56" s="227"/>
      <c r="BX56" s="227"/>
      <c r="BY56" s="227"/>
      <c r="BZ56" s="227"/>
      <c r="CA56" s="227"/>
      <c r="CB56" s="226"/>
      <c r="CC56" s="226"/>
      <c r="CD56" s="226"/>
      <c r="CE56" s="226"/>
      <c r="CF56" s="226"/>
      <c r="CG56" s="226"/>
      <c r="CH56" s="226"/>
      <c r="CI56" s="226"/>
      <c r="CJ56" s="226"/>
      <c r="CK56" s="226"/>
      <c r="CL56" s="226"/>
      <c r="CM56" s="226"/>
      <c r="CN56" s="226"/>
      <c r="CO56" s="226"/>
      <c r="CP56" s="226"/>
      <c r="CQ56" s="226"/>
      <c r="CR56" s="226"/>
      <c r="CS56" s="226"/>
      <c r="CT56" s="226"/>
      <c r="CU56" s="226"/>
      <c r="CV56" s="226"/>
      <c r="CW56" s="226"/>
      <c r="CX56" s="226"/>
      <c r="CY56" s="226"/>
      <c r="CZ56" s="226"/>
      <c r="DA56" s="226"/>
      <c r="DB56" s="226"/>
      <c r="DC56" s="226"/>
      <c r="DD56" s="226"/>
      <c r="DE56" s="226"/>
      <c r="DF56" s="226"/>
      <c r="DG56" s="226"/>
      <c r="DH56" s="226"/>
      <c r="DI56" s="226"/>
      <c r="DJ56" s="226"/>
      <c r="DK56" s="226"/>
      <c r="DL56" s="226"/>
      <c r="DM56" s="226"/>
      <c r="DN56" s="226"/>
      <c r="DO56" s="226"/>
      <c r="DP56" s="226"/>
      <c r="DQ56" s="226"/>
    </row>
    <row r="57" spans="1:121" s="33" customFormat="1" ht="16.25" customHeight="1" thickBot="1">
      <c r="A57" s="285"/>
      <c r="B57" s="285"/>
      <c r="C57" s="285"/>
      <c r="D57" s="274"/>
      <c r="E57" s="423" t="s">
        <v>41</v>
      </c>
      <c r="F57" s="424"/>
      <c r="G57" s="424"/>
      <c r="H57" s="425"/>
      <c r="I57" s="449" t="str">
        <f>IF(AND(OR(K49="",L49="")),"W34",IF(K49&gt;L49,I49,IF(K49&lt;L49,N49,IF(AND(K49=L49,J49=M49),"W34",IF(AND(K49=L49,OR(J49="",M49="")),"W34",IF(AND(K49=L49,J49&gt;M49),I49,N49))))))</f>
        <v>W34</v>
      </c>
      <c r="J57" s="450"/>
      <c r="K57" s="450"/>
      <c r="L57" s="450"/>
      <c r="M57" s="450"/>
      <c r="N57" s="451"/>
      <c r="O57" s="336">
        <f>IF(I57="W34",0,1)</f>
        <v>0</v>
      </c>
      <c r="P57" s="332"/>
      <c r="Q57" s="332"/>
      <c r="R57" s="332"/>
      <c r="S57" s="332"/>
      <c r="T57" s="332"/>
      <c r="U57" s="332"/>
      <c r="V57" s="332"/>
      <c r="W57" s="332"/>
      <c r="X57" s="332"/>
      <c r="Y57" s="332"/>
      <c r="Z57" s="332"/>
      <c r="AA57" s="332"/>
      <c r="AB57" s="274"/>
      <c r="AC57" s="274"/>
      <c r="AD57" s="274"/>
      <c r="AE57" s="274"/>
      <c r="AF57" s="227"/>
      <c r="AG57" s="227"/>
      <c r="AH57" s="227"/>
      <c r="AI57" s="227"/>
      <c r="AJ57" s="227"/>
      <c r="AK57" s="227"/>
      <c r="AL57" s="227"/>
      <c r="AM57" s="227"/>
      <c r="AN57" s="227"/>
      <c r="AO57" s="227"/>
      <c r="AP57" s="227"/>
      <c r="AQ57" s="227"/>
      <c r="AR57" s="227"/>
      <c r="AS57" s="227"/>
      <c r="AT57" s="227"/>
      <c r="AU57" s="227"/>
      <c r="AV57" s="227"/>
      <c r="AW57" s="227"/>
      <c r="AX57" s="227"/>
      <c r="AY57" s="227"/>
      <c r="AZ57" s="227"/>
      <c r="BA57" s="227"/>
      <c r="BB57" s="227"/>
      <c r="BC57" s="227"/>
      <c r="BD57" s="227"/>
      <c r="BE57" s="227"/>
      <c r="BF57" s="227"/>
      <c r="BG57" s="227"/>
      <c r="BH57" s="227"/>
      <c r="BI57" s="248"/>
      <c r="BJ57" s="227"/>
      <c r="BK57" s="227"/>
      <c r="BL57" s="227"/>
      <c r="BM57" s="227"/>
      <c r="BN57" s="227"/>
      <c r="BO57" s="227"/>
      <c r="BP57" s="227"/>
      <c r="BQ57" s="227"/>
      <c r="BR57" s="227"/>
      <c r="BS57" s="227"/>
      <c r="BT57" s="227"/>
      <c r="BU57" s="227"/>
      <c r="BV57" s="222">
        <v>43640.833333333336</v>
      </c>
      <c r="BW57" s="227"/>
      <c r="BX57" s="227"/>
      <c r="BY57" s="227"/>
      <c r="BZ57" s="227"/>
      <c r="CA57" s="227"/>
      <c r="CB57" s="226"/>
      <c r="CC57" s="226"/>
      <c r="CD57" s="226"/>
      <c r="CE57" s="226"/>
      <c r="CF57" s="226"/>
      <c r="CG57" s="226"/>
      <c r="CH57" s="226"/>
      <c r="CI57" s="226"/>
      <c r="CJ57" s="226"/>
      <c r="CK57" s="226"/>
      <c r="CL57" s="226"/>
      <c r="CM57" s="226"/>
      <c r="CN57" s="226"/>
      <c r="CO57" s="226"/>
      <c r="CP57" s="226"/>
      <c r="CQ57" s="226"/>
      <c r="CR57" s="226"/>
      <c r="CS57" s="226"/>
      <c r="CT57" s="226"/>
      <c r="CU57" s="226"/>
      <c r="CV57" s="226"/>
      <c r="CW57" s="226"/>
      <c r="CX57" s="226"/>
      <c r="CY57" s="226"/>
      <c r="CZ57" s="226"/>
      <c r="DA57" s="226"/>
      <c r="DB57" s="226"/>
      <c r="DC57" s="226"/>
      <c r="DD57" s="226"/>
      <c r="DE57" s="226"/>
      <c r="DF57" s="226"/>
      <c r="DG57" s="226"/>
      <c r="DH57" s="226"/>
      <c r="DI57" s="226"/>
      <c r="DJ57" s="226"/>
      <c r="DK57" s="226"/>
      <c r="DL57" s="226"/>
      <c r="DM57" s="226"/>
      <c r="DN57" s="226"/>
      <c r="DO57" s="226"/>
      <c r="DP57" s="226"/>
      <c r="DQ57" s="226"/>
    </row>
    <row r="58" spans="1:121" s="33" customFormat="1" ht="15" customHeight="1" thickBot="1">
      <c r="A58" s="285"/>
      <c r="B58" s="285"/>
      <c r="C58" s="285"/>
      <c r="D58" s="274"/>
      <c r="E58" s="333"/>
      <c r="F58" s="333"/>
      <c r="G58" s="333"/>
      <c r="H58" s="333"/>
      <c r="I58" s="333"/>
      <c r="J58" s="271"/>
      <c r="K58" s="271"/>
      <c r="L58" s="271"/>
      <c r="M58" s="271"/>
      <c r="N58" s="271"/>
      <c r="O58" s="271"/>
      <c r="P58" s="332"/>
      <c r="Q58" s="332"/>
      <c r="R58" s="332"/>
      <c r="S58" s="332"/>
      <c r="T58" s="332"/>
      <c r="U58" s="332"/>
      <c r="V58" s="332"/>
      <c r="W58" s="332"/>
      <c r="X58" s="332"/>
      <c r="Y58" s="332"/>
      <c r="Z58" s="332"/>
      <c r="AA58" s="332"/>
      <c r="AB58" s="274"/>
      <c r="AC58" s="274"/>
      <c r="AD58" s="274"/>
      <c r="AE58" s="274"/>
      <c r="AF58" s="227"/>
      <c r="AG58" s="227"/>
      <c r="AH58" s="227"/>
      <c r="AI58" s="227"/>
      <c r="AJ58" s="227"/>
      <c r="AK58" s="227"/>
      <c r="AL58" s="227"/>
      <c r="AM58" s="227"/>
      <c r="AN58" s="227"/>
      <c r="AO58" s="227"/>
      <c r="AP58" s="227"/>
      <c r="AQ58" s="227"/>
      <c r="AR58" s="227"/>
      <c r="AS58" s="227"/>
      <c r="AT58" s="227"/>
      <c r="AU58" s="227"/>
      <c r="AV58" s="227"/>
      <c r="AW58" s="227"/>
      <c r="AX58" s="227"/>
      <c r="AY58" s="227"/>
      <c r="AZ58" s="227"/>
      <c r="BA58" s="227"/>
      <c r="BB58" s="227"/>
      <c r="BC58" s="227"/>
      <c r="BD58" s="227"/>
      <c r="BE58" s="227"/>
      <c r="BF58" s="227"/>
      <c r="BG58" s="227"/>
      <c r="BH58" s="227"/>
      <c r="BI58" s="227"/>
      <c r="BJ58" s="227"/>
      <c r="BK58" s="227"/>
      <c r="BL58" s="227"/>
      <c r="BM58" s="227"/>
      <c r="BN58" s="227"/>
      <c r="BO58" s="227"/>
      <c r="BP58" s="227"/>
      <c r="BQ58" s="227"/>
      <c r="BR58" s="227"/>
      <c r="BS58" s="227"/>
      <c r="BT58" s="227"/>
      <c r="BU58" s="227"/>
      <c r="BV58" s="222">
        <v>43640.833333333336</v>
      </c>
      <c r="BW58" s="227"/>
      <c r="BX58" s="227"/>
      <c r="BY58" s="227"/>
      <c r="BZ58" s="227"/>
      <c r="CA58" s="227"/>
      <c r="CB58" s="226"/>
      <c r="CC58" s="226"/>
      <c r="CD58" s="226"/>
      <c r="CE58" s="226"/>
      <c r="CF58" s="226"/>
      <c r="CG58" s="226"/>
      <c r="CH58" s="226"/>
      <c r="CI58" s="226"/>
      <c r="CJ58" s="226"/>
      <c r="CK58" s="226"/>
      <c r="CL58" s="226"/>
      <c r="CM58" s="226"/>
      <c r="CN58" s="226"/>
      <c r="CO58" s="226"/>
      <c r="CP58" s="226"/>
      <c r="CQ58" s="226"/>
      <c r="CR58" s="226"/>
      <c r="CS58" s="226"/>
      <c r="CT58" s="226"/>
      <c r="CU58" s="226"/>
      <c r="CV58" s="226"/>
      <c r="CW58" s="226"/>
      <c r="CX58" s="226"/>
      <c r="CY58" s="226"/>
      <c r="CZ58" s="226"/>
      <c r="DA58" s="226"/>
      <c r="DB58" s="226"/>
      <c r="DC58" s="226"/>
      <c r="DD58" s="226"/>
      <c r="DE58" s="226"/>
      <c r="DF58" s="226"/>
      <c r="DG58" s="226"/>
      <c r="DH58" s="226"/>
      <c r="DI58" s="226"/>
      <c r="DJ58" s="226"/>
      <c r="DK58" s="226"/>
      <c r="DL58" s="226"/>
      <c r="DM58" s="226"/>
      <c r="DN58" s="226"/>
      <c r="DO58" s="226"/>
      <c r="DP58" s="226"/>
      <c r="DQ58" s="226"/>
    </row>
    <row r="59" spans="1:121" s="33" customFormat="1" ht="18" customHeight="1">
      <c r="A59" s="285"/>
      <c r="B59" s="285"/>
      <c r="C59" s="285"/>
      <c r="D59" s="274"/>
      <c r="E59" s="417" t="s">
        <v>120</v>
      </c>
      <c r="F59" s="418"/>
      <c r="G59" s="418"/>
      <c r="H59" s="419"/>
      <c r="I59" s="455"/>
      <c r="J59" s="456"/>
      <c r="K59" s="456"/>
      <c r="L59" s="456"/>
      <c r="M59" s="456"/>
      <c r="N59" s="457"/>
      <c r="O59" s="336">
        <f>IF(I59="Escribe un Jugador",0,IF(I59="",0,1))</f>
        <v>0</v>
      </c>
      <c r="P59" s="332"/>
      <c r="Q59" s="332"/>
      <c r="R59" s="332"/>
      <c r="S59" s="332"/>
      <c r="T59" s="332"/>
      <c r="U59" s="332"/>
      <c r="V59" s="332"/>
      <c r="W59" s="332"/>
      <c r="X59" s="332"/>
      <c r="Y59" s="332"/>
      <c r="Z59" s="332"/>
      <c r="AA59" s="332"/>
      <c r="AB59" s="274"/>
      <c r="AC59" s="274"/>
      <c r="AD59" s="274"/>
      <c r="AE59" s="274"/>
      <c r="AF59" s="227"/>
      <c r="AG59" s="227"/>
      <c r="AH59" s="227"/>
      <c r="AI59" s="227"/>
      <c r="AJ59" s="227"/>
      <c r="AK59" s="227"/>
      <c r="AL59" s="227"/>
      <c r="AM59" s="227"/>
      <c r="AN59" s="227"/>
      <c r="AO59" s="227"/>
      <c r="AP59" s="227"/>
      <c r="AQ59" s="227"/>
      <c r="AR59" s="227"/>
      <c r="AS59" s="227"/>
      <c r="AT59" s="227"/>
      <c r="AU59" s="227"/>
      <c r="AV59" s="227"/>
      <c r="AW59" s="227"/>
      <c r="AX59" s="227"/>
      <c r="AY59" s="227"/>
      <c r="AZ59" s="227"/>
      <c r="BA59" s="227"/>
      <c r="BB59" s="227"/>
      <c r="BC59" s="227"/>
      <c r="BD59" s="227"/>
      <c r="BE59" s="227"/>
      <c r="BF59" s="227"/>
      <c r="BG59" s="227"/>
      <c r="BH59" s="227"/>
      <c r="BI59" s="227"/>
      <c r="BJ59" s="227"/>
      <c r="BK59" s="227"/>
      <c r="BL59" s="227"/>
      <c r="BM59" s="227"/>
      <c r="BN59" s="227"/>
      <c r="BO59" s="227"/>
      <c r="BP59" s="227"/>
      <c r="BQ59" s="227"/>
      <c r="BR59" s="227"/>
      <c r="BS59" s="227"/>
      <c r="BT59" s="227"/>
      <c r="BU59" s="227"/>
      <c r="BV59" s="238" t="s">
        <v>118</v>
      </c>
      <c r="BW59" s="227"/>
      <c r="BX59" s="227"/>
      <c r="BY59" s="227"/>
      <c r="BZ59" s="227"/>
      <c r="CA59" s="227"/>
      <c r="CB59" s="226"/>
      <c r="CC59" s="226"/>
      <c r="CD59" s="226"/>
      <c r="CE59" s="226"/>
      <c r="CF59" s="226"/>
      <c r="CG59" s="226"/>
      <c r="CH59" s="226"/>
      <c r="CI59" s="226"/>
      <c r="CJ59" s="226"/>
      <c r="CK59" s="226"/>
      <c r="CL59" s="226"/>
      <c r="CM59" s="226"/>
      <c r="CN59" s="226"/>
      <c r="CO59" s="226"/>
      <c r="CP59" s="226"/>
      <c r="CQ59" s="226"/>
      <c r="CR59" s="226"/>
      <c r="CS59" s="226"/>
      <c r="CT59" s="226"/>
      <c r="CU59" s="226"/>
      <c r="CV59" s="226"/>
      <c r="CW59" s="226"/>
      <c r="CX59" s="226"/>
      <c r="CY59" s="226"/>
      <c r="CZ59" s="226"/>
      <c r="DA59" s="226"/>
      <c r="DB59" s="226"/>
      <c r="DC59" s="226"/>
      <c r="DD59" s="226"/>
      <c r="DE59" s="226"/>
      <c r="DF59" s="226"/>
      <c r="DG59" s="226"/>
      <c r="DH59" s="226"/>
      <c r="DI59" s="226"/>
      <c r="DJ59" s="226"/>
      <c r="DK59" s="226"/>
      <c r="DL59" s="226"/>
      <c r="DM59" s="226"/>
      <c r="DN59" s="226"/>
      <c r="DO59" s="226"/>
      <c r="DP59" s="226"/>
      <c r="DQ59" s="226"/>
    </row>
    <row r="60" spans="1:121" s="33" customFormat="1" ht="16.25" customHeight="1">
      <c r="A60" s="285"/>
      <c r="B60" s="285"/>
      <c r="C60" s="285"/>
      <c r="D60" s="274"/>
      <c r="E60" s="420" t="s">
        <v>122</v>
      </c>
      <c r="F60" s="421"/>
      <c r="G60" s="421"/>
      <c r="H60" s="422"/>
      <c r="I60" s="452"/>
      <c r="J60" s="453"/>
      <c r="K60" s="453"/>
      <c r="L60" s="453"/>
      <c r="M60" s="453"/>
      <c r="N60" s="454"/>
      <c r="O60" s="336">
        <f t="shared" ref="O60:O61" si="32">IF(I60="Escribe un Jugador",0,IF(I60="",0,1))</f>
        <v>0</v>
      </c>
      <c r="P60" s="332"/>
      <c r="Q60" s="332"/>
      <c r="R60" s="332"/>
      <c r="S60" s="332"/>
      <c r="T60" s="332"/>
      <c r="U60" s="332"/>
      <c r="V60" s="332"/>
      <c r="W60" s="332"/>
      <c r="X60" s="332"/>
      <c r="Y60" s="332"/>
      <c r="Z60" s="332"/>
      <c r="AA60" s="332"/>
      <c r="AB60" s="274"/>
      <c r="AC60" s="274"/>
      <c r="AD60" s="274"/>
      <c r="AE60" s="274"/>
      <c r="AF60" s="227"/>
      <c r="AG60" s="227"/>
      <c r="AH60" s="227"/>
      <c r="AI60" s="227"/>
      <c r="AJ60" s="227"/>
      <c r="AK60" s="227"/>
      <c r="AL60" s="227"/>
      <c r="AM60" s="227"/>
      <c r="AN60" s="227"/>
      <c r="AO60" s="227"/>
      <c r="AP60" s="227"/>
      <c r="AQ60" s="227"/>
      <c r="AR60" s="227"/>
      <c r="AS60" s="227"/>
      <c r="AT60" s="227"/>
      <c r="AU60" s="227"/>
      <c r="AV60" s="227"/>
      <c r="AW60" s="227"/>
      <c r="AX60" s="227"/>
      <c r="AY60" s="227"/>
      <c r="AZ60" s="227"/>
      <c r="BA60" s="227"/>
      <c r="BB60" s="227"/>
      <c r="BC60" s="227"/>
      <c r="BD60" s="227"/>
      <c r="BE60" s="227"/>
      <c r="BF60" s="227"/>
      <c r="BG60" s="227"/>
      <c r="BH60" s="227"/>
      <c r="BI60" s="227"/>
      <c r="BJ60" s="227"/>
      <c r="BK60" s="227"/>
      <c r="BL60" s="227"/>
      <c r="BM60" s="227"/>
      <c r="BN60" s="227"/>
      <c r="BO60" s="227"/>
      <c r="BP60" s="227"/>
      <c r="BQ60" s="227"/>
      <c r="BR60" s="227"/>
      <c r="BS60" s="227"/>
      <c r="BT60" s="227"/>
      <c r="BU60" s="227"/>
      <c r="BV60" s="223">
        <v>43643.895833333336</v>
      </c>
      <c r="BW60" s="227"/>
      <c r="BX60" s="227"/>
      <c r="BY60" s="227"/>
      <c r="BZ60" s="227"/>
      <c r="CA60" s="227"/>
      <c r="CB60" s="226"/>
      <c r="CC60" s="226"/>
      <c r="CD60" s="226"/>
      <c r="CE60" s="226"/>
      <c r="CF60" s="226"/>
      <c r="CG60" s="226"/>
      <c r="CH60" s="226"/>
      <c r="CI60" s="226"/>
      <c r="CJ60" s="226"/>
      <c r="CK60" s="226"/>
      <c r="CL60" s="226"/>
      <c r="CM60" s="226"/>
      <c r="CN60" s="226"/>
      <c r="CO60" s="226"/>
      <c r="CP60" s="226"/>
      <c r="CQ60" s="226"/>
      <c r="CR60" s="226"/>
      <c r="CS60" s="226"/>
      <c r="CT60" s="226"/>
      <c r="CU60" s="226"/>
      <c r="CV60" s="226"/>
      <c r="CW60" s="226"/>
      <c r="CX60" s="226"/>
      <c r="CY60" s="226"/>
      <c r="CZ60" s="226"/>
      <c r="DA60" s="226"/>
      <c r="DB60" s="226"/>
      <c r="DC60" s="226"/>
      <c r="DD60" s="226"/>
      <c r="DE60" s="226"/>
      <c r="DF60" s="226"/>
      <c r="DG60" s="226"/>
      <c r="DH60" s="226"/>
      <c r="DI60" s="226"/>
      <c r="DJ60" s="226"/>
      <c r="DK60" s="226"/>
      <c r="DL60" s="226"/>
      <c r="DM60" s="226"/>
      <c r="DN60" s="226"/>
      <c r="DO60" s="226"/>
      <c r="DP60" s="226"/>
      <c r="DQ60" s="226"/>
    </row>
    <row r="61" spans="1:121" s="33" customFormat="1" ht="16" thickBot="1">
      <c r="A61" s="285"/>
      <c r="B61" s="285"/>
      <c r="C61" s="285"/>
      <c r="D61" s="274"/>
      <c r="E61" s="423" t="s">
        <v>121</v>
      </c>
      <c r="F61" s="424"/>
      <c r="G61" s="424"/>
      <c r="H61" s="425"/>
      <c r="I61" s="458"/>
      <c r="J61" s="459"/>
      <c r="K61" s="459"/>
      <c r="L61" s="459"/>
      <c r="M61" s="459"/>
      <c r="N61" s="460"/>
      <c r="O61" s="336">
        <f t="shared" si="32"/>
        <v>0</v>
      </c>
      <c r="P61" s="332"/>
      <c r="Q61" s="332"/>
      <c r="R61" s="332"/>
      <c r="S61" s="332"/>
      <c r="T61" s="332"/>
      <c r="U61" s="332"/>
      <c r="V61" s="332"/>
      <c r="W61" s="332"/>
      <c r="X61" s="332"/>
      <c r="Y61" s="332"/>
      <c r="Z61" s="332"/>
      <c r="AA61" s="332"/>
      <c r="AB61" s="274"/>
      <c r="AC61" s="274"/>
      <c r="AD61" s="274"/>
      <c r="AE61" s="274"/>
      <c r="AF61" s="227"/>
      <c r="AG61" s="227"/>
      <c r="AH61" s="227"/>
      <c r="AI61" s="227"/>
      <c r="AJ61" s="227"/>
      <c r="AK61" s="227"/>
      <c r="AL61" s="227"/>
      <c r="AM61" s="227"/>
      <c r="AN61" s="227"/>
      <c r="AO61" s="227"/>
      <c r="AP61" s="227"/>
      <c r="AQ61" s="227"/>
      <c r="AR61" s="227"/>
      <c r="AS61" s="227"/>
      <c r="AT61" s="227"/>
      <c r="AU61" s="227"/>
      <c r="AV61" s="227"/>
      <c r="AW61" s="227"/>
      <c r="AX61" s="227"/>
      <c r="AY61" s="227"/>
      <c r="AZ61" s="227"/>
      <c r="BA61" s="227"/>
      <c r="BB61" s="227"/>
      <c r="BC61" s="227"/>
      <c r="BD61" s="227"/>
      <c r="BE61" s="227"/>
      <c r="BF61" s="227"/>
      <c r="BG61" s="227"/>
      <c r="BH61" s="227"/>
      <c r="BI61" s="227"/>
      <c r="BJ61" s="227"/>
      <c r="BK61" s="227"/>
      <c r="BL61" s="227"/>
      <c r="BM61" s="227"/>
      <c r="BN61" s="227"/>
      <c r="BO61" s="227"/>
      <c r="BP61" s="227"/>
      <c r="BQ61" s="227"/>
      <c r="BR61" s="227"/>
      <c r="BS61" s="227"/>
      <c r="BT61" s="227"/>
      <c r="BU61" s="227"/>
      <c r="BV61" s="222">
        <v>43644.666666666664</v>
      </c>
      <c r="BW61" s="227"/>
      <c r="BX61" s="227"/>
      <c r="BY61" s="227"/>
      <c r="BZ61" s="227"/>
      <c r="CA61" s="227"/>
      <c r="CB61" s="226"/>
      <c r="CC61" s="226"/>
      <c r="CD61" s="226"/>
      <c r="CE61" s="226"/>
      <c r="CF61" s="226"/>
      <c r="CG61" s="226"/>
      <c r="CH61" s="226"/>
      <c r="CI61" s="226"/>
      <c r="CJ61" s="226"/>
      <c r="CK61" s="226"/>
      <c r="CL61" s="226"/>
      <c r="CM61" s="226"/>
      <c r="CN61" s="226"/>
      <c r="CO61" s="226"/>
      <c r="CP61" s="226"/>
      <c r="CQ61" s="226"/>
      <c r="CR61" s="226"/>
      <c r="CS61" s="226"/>
      <c r="CT61" s="226"/>
      <c r="CU61" s="226"/>
      <c r="CV61" s="226"/>
      <c r="CW61" s="226"/>
      <c r="CX61" s="226"/>
      <c r="CY61" s="226"/>
      <c r="CZ61" s="226"/>
      <c r="DA61" s="226"/>
      <c r="DB61" s="226"/>
      <c r="DC61" s="226"/>
      <c r="DD61" s="226"/>
      <c r="DE61" s="226"/>
      <c r="DF61" s="226"/>
      <c r="DG61" s="226"/>
      <c r="DH61" s="226"/>
      <c r="DI61" s="226"/>
      <c r="DJ61" s="226"/>
      <c r="DK61" s="226"/>
      <c r="DL61" s="226"/>
      <c r="DM61" s="226"/>
      <c r="DN61" s="226"/>
      <c r="DO61" s="226"/>
      <c r="DP61" s="226"/>
      <c r="DQ61" s="226"/>
    </row>
    <row r="62" spans="1:121" s="33" customFormat="1" ht="16" thickBot="1">
      <c r="A62" s="285"/>
      <c r="B62" s="285"/>
      <c r="C62" s="285"/>
      <c r="D62" s="274"/>
      <c r="E62" s="334"/>
      <c r="F62" s="334"/>
      <c r="G62" s="334"/>
      <c r="H62" s="334"/>
      <c r="I62" s="334"/>
      <c r="J62" s="335"/>
      <c r="K62" s="335"/>
      <c r="L62" s="335"/>
      <c r="M62" s="335"/>
      <c r="N62" s="335"/>
      <c r="O62" s="335"/>
      <c r="P62" s="332"/>
      <c r="Q62" s="332"/>
      <c r="R62" s="332"/>
      <c r="S62" s="332"/>
      <c r="T62" s="332"/>
      <c r="U62" s="332"/>
      <c r="V62" s="332"/>
      <c r="W62" s="332"/>
      <c r="X62" s="332"/>
      <c r="Y62" s="332"/>
      <c r="Z62" s="332"/>
      <c r="AA62" s="332"/>
      <c r="AB62" s="274"/>
      <c r="AC62" s="274"/>
      <c r="AD62" s="274"/>
      <c r="AE62" s="274"/>
      <c r="AF62" s="227"/>
      <c r="AG62" s="227"/>
      <c r="AH62" s="227"/>
      <c r="AI62" s="227"/>
      <c r="AJ62" s="227"/>
      <c r="AK62" s="227"/>
      <c r="AL62" s="227"/>
      <c r="AM62" s="227"/>
      <c r="AN62" s="227"/>
      <c r="AO62" s="227"/>
      <c r="AP62" s="227"/>
      <c r="AQ62" s="227"/>
      <c r="AR62" s="227"/>
      <c r="AS62" s="227"/>
      <c r="AT62" s="227"/>
      <c r="AU62" s="227"/>
      <c r="AV62" s="227"/>
      <c r="AW62" s="227"/>
      <c r="AX62" s="227"/>
      <c r="AY62" s="227"/>
      <c r="AZ62" s="227"/>
      <c r="BA62" s="227"/>
      <c r="BB62" s="227"/>
      <c r="BC62" s="227"/>
      <c r="BD62" s="227"/>
      <c r="BE62" s="227"/>
      <c r="BF62" s="227"/>
      <c r="BG62" s="227"/>
      <c r="BH62" s="227"/>
      <c r="BI62" s="227"/>
      <c r="BJ62" s="227"/>
      <c r="BK62" s="227"/>
      <c r="BL62" s="227"/>
      <c r="BM62" s="227"/>
      <c r="BN62" s="227"/>
      <c r="BO62" s="227"/>
      <c r="BP62" s="227"/>
      <c r="BQ62" s="227"/>
      <c r="BR62" s="227"/>
      <c r="BS62" s="227"/>
      <c r="BT62" s="227"/>
      <c r="BU62" s="227"/>
      <c r="BV62" s="222">
        <v>43644.833333333336</v>
      </c>
      <c r="BW62" s="227"/>
      <c r="BX62" s="227"/>
      <c r="BY62" s="227"/>
      <c r="BZ62" s="227"/>
      <c r="CA62" s="227"/>
      <c r="CB62" s="226"/>
      <c r="CC62" s="226"/>
      <c r="CD62" s="226"/>
      <c r="CE62" s="226"/>
      <c r="CF62" s="226"/>
      <c r="CG62" s="226"/>
      <c r="CH62" s="226"/>
      <c r="CI62" s="226"/>
      <c r="CJ62" s="226"/>
      <c r="CK62" s="226"/>
      <c r="CL62" s="226"/>
      <c r="CM62" s="226"/>
      <c r="CN62" s="226"/>
      <c r="CO62" s="226"/>
      <c r="CP62" s="226"/>
      <c r="CQ62" s="226"/>
      <c r="CR62" s="226"/>
      <c r="CS62" s="226"/>
      <c r="CT62" s="226"/>
      <c r="CU62" s="226"/>
      <c r="CV62" s="226"/>
      <c r="CW62" s="226"/>
      <c r="CX62" s="226"/>
      <c r="CY62" s="226"/>
      <c r="CZ62" s="226"/>
      <c r="DA62" s="226"/>
      <c r="DB62" s="226"/>
      <c r="DC62" s="226"/>
      <c r="DD62" s="226"/>
      <c r="DE62" s="226"/>
      <c r="DF62" s="226"/>
      <c r="DG62" s="226"/>
      <c r="DH62" s="226"/>
      <c r="DI62" s="226"/>
      <c r="DJ62" s="226"/>
      <c r="DK62" s="226"/>
      <c r="DL62" s="226"/>
      <c r="DM62" s="226"/>
      <c r="DN62" s="226"/>
      <c r="DO62" s="226"/>
      <c r="DP62" s="226"/>
      <c r="DQ62" s="226"/>
    </row>
    <row r="63" spans="1:121" s="33" customFormat="1" ht="17" thickBot="1">
      <c r="A63" s="285"/>
      <c r="B63" s="285"/>
      <c r="C63" s="285"/>
      <c r="D63" s="274"/>
      <c r="E63" s="265" t="s">
        <v>37</v>
      </c>
      <c r="F63" s="266"/>
      <c r="G63" s="266"/>
      <c r="H63" s="267"/>
      <c r="I63" s="440" t="s">
        <v>81</v>
      </c>
      <c r="J63" s="441"/>
      <c r="K63" s="441"/>
      <c r="L63" s="441"/>
      <c r="M63" s="441"/>
      <c r="N63" s="442"/>
      <c r="O63" s="336">
        <f>IF(I63="Escribe tu nombre",0,IF(I63="",0,1))</f>
        <v>0</v>
      </c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27"/>
      <c r="AG63" s="227"/>
      <c r="AH63" s="227"/>
      <c r="AI63" s="227"/>
      <c r="AJ63" s="227"/>
      <c r="AK63" s="227"/>
      <c r="AL63" s="227"/>
      <c r="AM63" s="227"/>
      <c r="AN63" s="227"/>
      <c r="AO63" s="227"/>
      <c r="AP63" s="227"/>
      <c r="AQ63" s="227"/>
      <c r="AR63" s="227"/>
      <c r="AS63" s="227"/>
      <c r="AT63" s="227"/>
      <c r="AU63" s="227"/>
      <c r="AV63" s="227"/>
      <c r="AW63" s="227"/>
      <c r="AX63" s="227"/>
      <c r="AY63" s="227"/>
      <c r="AZ63" s="227"/>
      <c r="BA63" s="227"/>
      <c r="BB63" s="227"/>
      <c r="BC63" s="227"/>
      <c r="BD63" s="227"/>
      <c r="BE63" s="227"/>
      <c r="BF63" s="227"/>
      <c r="BG63" s="227"/>
      <c r="BH63" s="227"/>
      <c r="BI63" s="227"/>
      <c r="BJ63" s="227"/>
      <c r="BK63" s="227"/>
      <c r="BL63" s="227"/>
      <c r="BM63" s="227"/>
      <c r="BN63" s="227"/>
      <c r="BO63" s="227"/>
      <c r="BP63" s="227"/>
      <c r="BQ63" s="227"/>
      <c r="BR63" s="227"/>
      <c r="BS63" s="227"/>
      <c r="BT63" s="227"/>
      <c r="BU63" s="227"/>
      <c r="BV63" s="222">
        <v>43645.666666666664</v>
      </c>
      <c r="BW63" s="227"/>
      <c r="BX63" s="227"/>
      <c r="BY63" s="227"/>
      <c r="BZ63" s="227"/>
      <c r="CA63" s="227"/>
      <c r="CB63" s="226"/>
      <c r="CC63" s="226"/>
      <c r="CD63" s="226"/>
      <c r="CE63" s="226"/>
      <c r="CF63" s="226"/>
      <c r="CG63" s="226"/>
      <c r="CH63" s="226"/>
      <c r="CI63" s="226"/>
      <c r="CJ63" s="226"/>
      <c r="CK63" s="226"/>
      <c r="CL63" s="226"/>
      <c r="CM63" s="226"/>
      <c r="CN63" s="226"/>
      <c r="CO63" s="226"/>
      <c r="CP63" s="226"/>
      <c r="CQ63" s="226"/>
      <c r="CR63" s="226"/>
      <c r="CS63" s="226"/>
      <c r="CT63" s="226"/>
      <c r="CU63" s="226"/>
      <c r="CV63" s="226"/>
      <c r="CW63" s="226"/>
      <c r="CX63" s="226"/>
      <c r="CY63" s="226"/>
      <c r="CZ63" s="226"/>
      <c r="DA63" s="226"/>
      <c r="DB63" s="226"/>
      <c r="DC63" s="226"/>
      <c r="DD63" s="226"/>
      <c r="DE63" s="226"/>
      <c r="DF63" s="226"/>
      <c r="DG63" s="226"/>
      <c r="DH63" s="226"/>
      <c r="DI63" s="226"/>
      <c r="DJ63" s="226"/>
      <c r="DK63" s="226"/>
      <c r="DL63" s="226"/>
      <c r="DM63" s="226"/>
      <c r="DN63" s="226"/>
      <c r="DO63" s="226"/>
      <c r="DP63" s="226"/>
      <c r="DQ63" s="226"/>
    </row>
    <row r="64" spans="1:121" s="33" customFormat="1">
      <c r="A64" s="285"/>
      <c r="B64" s="285"/>
      <c r="C64" s="285"/>
      <c r="D64" s="274"/>
      <c r="E64" s="336"/>
      <c r="F64" s="336"/>
      <c r="G64" s="336"/>
      <c r="H64" s="336"/>
      <c r="I64" s="336"/>
      <c r="J64" s="336"/>
      <c r="K64" s="336"/>
      <c r="L64" s="336"/>
      <c r="M64" s="336"/>
      <c r="N64" s="336"/>
      <c r="O64" s="336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27"/>
      <c r="AG64" s="227"/>
      <c r="AH64" s="227"/>
      <c r="AI64" s="227"/>
      <c r="AJ64" s="227"/>
      <c r="AK64" s="227"/>
      <c r="AL64" s="227"/>
      <c r="AM64" s="227"/>
      <c r="AN64" s="227"/>
      <c r="AO64" s="227"/>
      <c r="AP64" s="227"/>
      <c r="AQ64" s="227"/>
      <c r="AR64" s="227"/>
      <c r="AS64" s="227"/>
      <c r="AT64" s="227"/>
      <c r="AU64" s="227"/>
      <c r="AV64" s="227"/>
      <c r="AW64" s="227"/>
      <c r="AX64" s="227"/>
      <c r="AY64" s="227"/>
      <c r="AZ64" s="227"/>
      <c r="BA64" s="227"/>
      <c r="BB64" s="227"/>
      <c r="BC64" s="227"/>
      <c r="BD64" s="227"/>
      <c r="BE64" s="227"/>
      <c r="BF64" s="227"/>
      <c r="BG64" s="227"/>
      <c r="BH64" s="227"/>
      <c r="BI64" s="227"/>
      <c r="BJ64" s="227"/>
      <c r="BK64" s="227"/>
      <c r="BL64" s="227"/>
      <c r="BM64" s="227"/>
      <c r="BN64" s="227"/>
      <c r="BO64" s="227"/>
      <c r="BP64" s="227"/>
      <c r="BQ64" s="227"/>
      <c r="BR64" s="227"/>
      <c r="BS64" s="227"/>
      <c r="BT64" s="227"/>
      <c r="BU64" s="227"/>
      <c r="BV64" s="239" t="s">
        <v>119</v>
      </c>
      <c r="BW64" s="227"/>
      <c r="BX64" s="227"/>
      <c r="BY64" s="227"/>
      <c r="BZ64" s="227"/>
      <c r="CA64" s="227"/>
      <c r="CB64" s="226"/>
      <c r="CC64" s="226"/>
      <c r="CD64" s="226"/>
      <c r="CE64" s="226"/>
      <c r="CF64" s="226"/>
      <c r="CG64" s="226"/>
      <c r="CH64" s="226"/>
      <c r="CI64" s="226"/>
      <c r="CJ64" s="226"/>
      <c r="CK64" s="226"/>
      <c r="CL64" s="226"/>
      <c r="CM64" s="226"/>
      <c r="CN64" s="226"/>
      <c r="CO64" s="226"/>
      <c r="CP64" s="226"/>
      <c r="CQ64" s="226"/>
      <c r="CR64" s="226"/>
      <c r="CS64" s="226"/>
      <c r="CT64" s="226"/>
      <c r="CU64" s="226"/>
      <c r="CV64" s="226"/>
      <c r="CW64" s="226"/>
      <c r="CX64" s="226"/>
      <c r="CY64" s="226"/>
      <c r="CZ64" s="226"/>
      <c r="DA64" s="226"/>
      <c r="DB64" s="226"/>
      <c r="DC64" s="226"/>
      <c r="DD64" s="226"/>
      <c r="DE64" s="226"/>
      <c r="DF64" s="226"/>
      <c r="DG64" s="226"/>
      <c r="DH64" s="226"/>
      <c r="DI64" s="226"/>
      <c r="DJ64" s="226"/>
      <c r="DK64" s="226"/>
      <c r="DL64" s="226"/>
      <c r="DM64" s="226"/>
      <c r="DN64" s="226"/>
      <c r="DO64" s="226"/>
      <c r="DP64" s="226"/>
      <c r="DQ64" s="226"/>
    </row>
    <row r="65" spans="1:121" s="33" customFormat="1">
      <c r="A65" s="285"/>
      <c r="B65" s="285"/>
      <c r="C65" s="285"/>
      <c r="D65" s="274"/>
      <c r="E65" s="336"/>
      <c r="F65" s="336"/>
      <c r="G65" s="336"/>
      <c r="H65" s="336"/>
      <c r="I65" s="336"/>
      <c r="J65" s="336"/>
      <c r="K65" s="336"/>
      <c r="L65" s="336"/>
      <c r="M65" s="336"/>
      <c r="N65" s="336"/>
      <c r="O65" s="336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27"/>
      <c r="AG65" s="227"/>
      <c r="AH65" s="227"/>
      <c r="AI65" s="227"/>
      <c r="AJ65" s="227"/>
      <c r="AK65" s="227"/>
      <c r="AL65" s="227"/>
      <c r="AM65" s="227"/>
      <c r="AN65" s="227"/>
      <c r="AO65" s="227"/>
      <c r="AP65" s="227"/>
      <c r="AQ65" s="227"/>
      <c r="AR65" s="227"/>
      <c r="AS65" s="227"/>
      <c r="AT65" s="227"/>
      <c r="AU65" s="227"/>
      <c r="AV65" s="227"/>
      <c r="AW65" s="227"/>
      <c r="AX65" s="227"/>
      <c r="AY65" s="227"/>
      <c r="AZ65" s="227"/>
      <c r="BA65" s="227"/>
      <c r="BB65" s="227"/>
      <c r="BC65" s="227"/>
      <c r="BD65" s="227"/>
      <c r="BE65" s="227"/>
      <c r="BF65" s="227"/>
      <c r="BG65" s="227"/>
      <c r="BH65" s="227"/>
      <c r="BI65" s="227"/>
      <c r="BJ65" s="227"/>
      <c r="BK65" s="227"/>
      <c r="BL65" s="227"/>
      <c r="BM65" s="227"/>
      <c r="BN65" s="227"/>
      <c r="BO65" s="227"/>
      <c r="BP65" s="227"/>
      <c r="BQ65" s="227"/>
      <c r="BR65" s="227"/>
      <c r="BS65" s="227"/>
      <c r="BT65" s="227"/>
      <c r="BU65" s="227"/>
      <c r="BV65" s="223">
        <v>43648.895833333336</v>
      </c>
      <c r="BW65" s="227"/>
      <c r="BX65" s="227"/>
      <c r="BY65" s="227"/>
      <c r="BZ65" s="227"/>
      <c r="CA65" s="227"/>
      <c r="CB65" s="226"/>
      <c r="CC65" s="226"/>
      <c r="CD65" s="226"/>
      <c r="CE65" s="226"/>
      <c r="CF65" s="226"/>
      <c r="CG65" s="226"/>
      <c r="CH65" s="226"/>
      <c r="CI65" s="226"/>
      <c r="CJ65" s="226"/>
      <c r="CK65" s="226"/>
      <c r="CL65" s="226"/>
      <c r="CM65" s="226"/>
      <c r="CN65" s="226"/>
      <c r="CO65" s="226"/>
      <c r="CP65" s="226"/>
      <c r="CQ65" s="226"/>
      <c r="CR65" s="226"/>
      <c r="CS65" s="226"/>
      <c r="CT65" s="226"/>
      <c r="CU65" s="226"/>
      <c r="CV65" s="226"/>
      <c r="CW65" s="226"/>
      <c r="CX65" s="226"/>
      <c r="CY65" s="226"/>
      <c r="CZ65" s="226"/>
      <c r="DA65" s="226"/>
      <c r="DB65" s="226"/>
      <c r="DC65" s="226"/>
      <c r="DD65" s="226"/>
      <c r="DE65" s="226"/>
      <c r="DF65" s="226"/>
      <c r="DG65" s="226"/>
      <c r="DH65" s="226"/>
      <c r="DI65" s="226"/>
      <c r="DJ65" s="226"/>
      <c r="DK65" s="226"/>
      <c r="DL65" s="226"/>
      <c r="DM65" s="226"/>
      <c r="DN65" s="226"/>
      <c r="DO65" s="226"/>
      <c r="DP65" s="226"/>
      <c r="DQ65" s="226"/>
    </row>
    <row r="66" spans="1:121" s="33" customFormat="1">
      <c r="A66" s="285"/>
      <c r="B66" s="285"/>
      <c r="C66" s="285"/>
      <c r="D66" s="274"/>
      <c r="E66" s="337"/>
      <c r="F66" s="337"/>
      <c r="G66" s="337"/>
      <c r="H66" s="337"/>
      <c r="I66" s="337"/>
      <c r="J66" s="337"/>
      <c r="K66" s="337"/>
      <c r="L66" s="337"/>
      <c r="M66" s="337"/>
      <c r="N66" s="337"/>
      <c r="O66" s="337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27"/>
      <c r="AG66" s="227"/>
      <c r="AH66" s="227"/>
      <c r="AI66" s="227"/>
      <c r="AJ66" s="227"/>
      <c r="AK66" s="227"/>
      <c r="AL66" s="227"/>
      <c r="AM66" s="227"/>
      <c r="AN66" s="227"/>
      <c r="AO66" s="227"/>
      <c r="AP66" s="227"/>
      <c r="AQ66" s="227"/>
      <c r="AR66" s="227"/>
      <c r="AS66" s="227"/>
      <c r="AT66" s="227"/>
      <c r="AU66" s="227"/>
      <c r="AV66" s="227"/>
      <c r="AW66" s="227"/>
      <c r="AX66" s="227"/>
      <c r="AY66" s="227"/>
      <c r="AZ66" s="227"/>
      <c r="BA66" s="227"/>
      <c r="BB66" s="227"/>
      <c r="BC66" s="227"/>
      <c r="BD66" s="227"/>
      <c r="BE66" s="227"/>
      <c r="BF66" s="227"/>
      <c r="BG66" s="227"/>
      <c r="BH66" s="227"/>
      <c r="BI66" s="227"/>
      <c r="BJ66" s="227"/>
      <c r="BK66" s="227"/>
      <c r="BL66" s="227"/>
      <c r="BM66" s="227"/>
      <c r="BN66" s="227"/>
      <c r="BO66" s="227"/>
      <c r="BP66" s="227"/>
      <c r="BQ66" s="227"/>
      <c r="BR66" s="227"/>
      <c r="BS66" s="227"/>
      <c r="BT66" s="227"/>
      <c r="BU66" s="227"/>
      <c r="BV66" s="223">
        <v>43649.895833333336</v>
      </c>
      <c r="BW66" s="227"/>
      <c r="BX66" s="227"/>
      <c r="BY66" s="227"/>
      <c r="BZ66" s="227"/>
      <c r="CA66" s="227"/>
      <c r="CB66" s="226"/>
      <c r="CC66" s="226"/>
      <c r="CD66" s="226"/>
      <c r="CE66" s="226"/>
      <c r="CF66" s="226"/>
      <c r="CG66" s="226"/>
      <c r="CH66" s="226"/>
      <c r="CI66" s="226"/>
      <c r="CJ66" s="226"/>
      <c r="CK66" s="226"/>
      <c r="CL66" s="226"/>
      <c r="CM66" s="226"/>
      <c r="CN66" s="226"/>
      <c r="CO66" s="226"/>
      <c r="CP66" s="226"/>
      <c r="CQ66" s="226"/>
      <c r="CR66" s="226"/>
      <c r="CS66" s="226"/>
      <c r="CT66" s="226"/>
      <c r="CU66" s="226"/>
      <c r="CV66" s="226"/>
      <c r="CW66" s="226"/>
      <c r="CX66" s="226"/>
      <c r="CY66" s="226"/>
      <c r="CZ66" s="226"/>
      <c r="DA66" s="226"/>
      <c r="DB66" s="226"/>
      <c r="DC66" s="226"/>
      <c r="DD66" s="226"/>
      <c r="DE66" s="226"/>
      <c r="DF66" s="226"/>
      <c r="DG66" s="226"/>
      <c r="DH66" s="226"/>
      <c r="DI66" s="226"/>
      <c r="DJ66" s="226"/>
      <c r="DK66" s="226"/>
      <c r="DL66" s="226"/>
      <c r="DM66" s="226"/>
      <c r="DN66" s="226"/>
      <c r="DO66" s="226"/>
      <c r="DP66" s="226"/>
      <c r="DQ66" s="226"/>
    </row>
    <row r="67" spans="1:121" s="33" customFormat="1">
      <c r="A67" s="285"/>
      <c r="B67" s="285"/>
      <c r="C67" s="285"/>
      <c r="D67" s="274"/>
      <c r="E67" s="337"/>
      <c r="F67" s="337"/>
      <c r="G67" s="337"/>
      <c r="H67" s="337"/>
      <c r="I67" s="337"/>
      <c r="J67" s="337"/>
      <c r="K67" s="337"/>
      <c r="L67" s="337"/>
      <c r="M67" s="337"/>
      <c r="N67" s="337"/>
      <c r="O67" s="337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27"/>
      <c r="AG67" s="227"/>
      <c r="AH67" s="227"/>
      <c r="AI67" s="227"/>
      <c r="AJ67" s="227"/>
      <c r="AK67" s="227"/>
      <c r="AL67" s="227"/>
      <c r="AM67" s="227"/>
      <c r="AN67" s="227"/>
      <c r="AO67" s="227"/>
      <c r="AP67" s="227"/>
      <c r="AQ67" s="227"/>
      <c r="AR67" s="227"/>
      <c r="AS67" s="227"/>
      <c r="AT67" s="227"/>
      <c r="AU67" s="227"/>
      <c r="AV67" s="227"/>
      <c r="AW67" s="227"/>
      <c r="AX67" s="227"/>
      <c r="AY67" s="227"/>
      <c r="AZ67" s="227"/>
      <c r="BA67" s="227"/>
      <c r="BB67" s="227"/>
      <c r="BC67" s="227"/>
      <c r="BD67" s="227"/>
      <c r="BE67" s="227"/>
      <c r="BF67" s="227"/>
      <c r="BG67" s="227"/>
      <c r="BH67" s="227"/>
      <c r="BI67" s="227"/>
      <c r="BJ67" s="227"/>
      <c r="BK67" s="227"/>
      <c r="BL67" s="227"/>
      <c r="BM67" s="227"/>
      <c r="BN67" s="227"/>
      <c r="BO67" s="227"/>
      <c r="BP67" s="227"/>
      <c r="BQ67" s="227"/>
      <c r="BR67" s="227"/>
      <c r="BS67" s="227"/>
      <c r="BT67" s="227"/>
      <c r="BU67" s="227"/>
      <c r="BV67" s="249" t="s">
        <v>109</v>
      </c>
      <c r="BW67" s="227"/>
      <c r="BX67" s="227"/>
      <c r="BY67" s="227"/>
      <c r="BZ67" s="227"/>
      <c r="CA67" s="227"/>
      <c r="CB67" s="226"/>
      <c r="CC67" s="226"/>
      <c r="CD67" s="226"/>
      <c r="CE67" s="226"/>
      <c r="CF67" s="226"/>
      <c r="CG67" s="226"/>
      <c r="CH67" s="226"/>
      <c r="CI67" s="226"/>
      <c r="CJ67" s="226"/>
      <c r="CK67" s="226"/>
      <c r="CL67" s="226"/>
      <c r="CM67" s="226"/>
      <c r="CN67" s="226"/>
      <c r="CO67" s="226"/>
      <c r="CP67" s="226"/>
      <c r="CQ67" s="226"/>
      <c r="CR67" s="226"/>
      <c r="CS67" s="226"/>
      <c r="CT67" s="226"/>
      <c r="CU67" s="226"/>
      <c r="CV67" s="226"/>
      <c r="CW67" s="226"/>
      <c r="CX67" s="226"/>
      <c r="CY67" s="226"/>
      <c r="CZ67" s="226"/>
      <c r="DA67" s="226"/>
      <c r="DB67" s="226"/>
      <c r="DC67" s="226"/>
      <c r="DD67" s="226"/>
      <c r="DE67" s="226"/>
      <c r="DF67" s="226"/>
      <c r="DG67" s="226"/>
      <c r="DH67" s="226"/>
      <c r="DI67" s="226"/>
      <c r="DJ67" s="226"/>
      <c r="DK67" s="226"/>
      <c r="DL67" s="226"/>
      <c r="DM67" s="226"/>
      <c r="DN67" s="226"/>
      <c r="DO67" s="226"/>
      <c r="DP67" s="226"/>
      <c r="DQ67" s="226"/>
    </row>
    <row r="68" spans="1:121" s="33" customFormat="1">
      <c r="A68" s="196"/>
      <c r="B68" s="196"/>
      <c r="C68" s="196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27"/>
      <c r="AG68" s="227"/>
      <c r="AH68" s="227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7"/>
      <c r="AT68" s="227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7"/>
      <c r="BF68" s="227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7"/>
      <c r="BR68" s="227"/>
      <c r="BS68" s="227"/>
      <c r="BT68" s="227"/>
      <c r="BU68" s="227"/>
      <c r="BV68" s="223">
        <v>43652.666666666664</v>
      </c>
      <c r="BW68" s="227"/>
      <c r="BX68" s="227"/>
      <c r="BY68" s="227"/>
      <c r="BZ68" s="227"/>
      <c r="CA68" s="227"/>
      <c r="CB68" s="226"/>
      <c r="CC68" s="226"/>
      <c r="CD68" s="226"/>
      <c r="CE68" s="226"/>
      <c r="CF68" s="226"/>
      <c r="CG68" s="226"/>
      <c r="CH68" s="226"/>
      <c r="CI68" s="226"/>
      <c r="CJ68" s="226"/>
      <c r="CK68" s="226"/>
      <c r="CL68" s="226"/>
      <c r="CM68" s="226"/>
      <c r="CN68" s="226"/>
      <c r="CO68" s="226"/>
      <c r="CP68" s="226"/>
      <c r="CQ68" s="226"/>
      <c r="CR68" s="226"/>
      <c r="CS68" s="226"/>
      <c r="CT68" s="226"/>
      <c r="CU68" s="226"/>
      <c r="CV68" s="226"/>
      <c r="CW68" s="226"/>
      <c r="CX68" s="226"/>
      <c r="CY68" s="226"/>
      <c r="CZ68" s="226"/>
      <c r="DA68" s="226"/>
      <c r="DB68" s="226"/>
      <c r="DC68" s="226"/>
      <c r="DD68" s="226"/>
      <c r="DE68" s="226"/>
      <c r="DF68" s="226"/>
      <c r="DG68" s="226"/>
      <c r="DH68" s="226"/>
      <c r="DI68" s="226"/>
      <c r="DJ68" s="226"/>
      <c r="DK68" s="226"/>
      <c r="DL68" s="226"/>
      <c r="DM68" s="226"/>
      <c r="DN68" s="226"/>
      <c r="DO68" s="226"/>
      <c r="DP68" s="226"/>
      <c r="DQ68" s="226"/>
    </row>
    <row r="69" spans="1:121" s="33" customFormat="1"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4"/>
      <c r="AB69" s="35"/>
      <c r="AC69" s="34"/>
      <c r="AD69" s="34"/>
      <c r="AE69" s="34"/>
      <c r="AF69" s="227"/>
      <c r="AG69" s="227"/>
      <c r="AH69" s="227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7"/>
      <c r="AT69" s="227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7"/>
      <c r="BF69" s="227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7"/>
      <c r="BR69" s="227"/>
      <c r="BS69" s="227"/>
      <c r="BT69" s="227"/>
      <c r="BU69" s="227"/>
      <c r="BV69" s="237" t="s">
        <v>4</v>
      </c>
      <c r="BW69" s="227"/>
      <c r="BX69" s="227"/>
      <c r="BY69" s="227"/>
      <c r="BZ69" s="227"/>
      <c r="CA69" s="227"/>
      <c r="CB69" s="226"/>
      <c r="CC69" s="226"/>
      <c r="CD69" s="226"/>
      <c r="CE69" s="226"/>
      <c r="CF69" s="226"/>
      <c r="CG69" s="226"/>
      <c r="CH69" s="226"/>
      <c r="CI69" s="226"/>
      <c r="CJ69" s="226"/>
      <c r="CK69" s="226"/>
      <c r="CL69" s="226"/>
      <c r="CM69" s="226"/>
      <c r="CN69" s="226"/>
      <c r="CO69" s="226"/>
      <c r="CP69" s="226"/>
      <c r="CQ69" s="226"/>
      <c r="CR69" s="226"/>
      <c r="CS69" s="226"/>
      <c r="CT69" s="226"/>
      <c r="CU69" s="226"/>
      <c r="CV69" s="226"/>
      <c r="CW69" s="226"/>
      <c r="CX69" s="226"/>
      <c r="CY69" s="226"/>
      <c r="CZ69" s="226"/>
      <c r="DA69" s="226"/>
      <c r="DB69" s="226"/>
      <c r="DC69" s="226"/>
      <c r="DD69" s="226"/>
      <c r="DE69" s="226"/>
      <c r="DF69" s="226"/>
      <c r="DG69" s="226"/>
      <c r="DH69" s="226"/>
      <c r="DI69" s="226"/>
      <c r="DJ69" s="226"/>
      <c r="DK69" s="226"/>
      <c r="DL69" s="226"/>
      <c r="DM69" s="226"/>
      <c r="DN69" s="226"/>
      <c r="DO69" s="226"/>
      <c r="DP69" s="226"/>
      <c r="DQ69" s="226"/>
    </row>
    <row r="70" spans="1:121" s="33" customFormat="1"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4"/>
      <c r="AB70" s="35"/>
      <c r="AC70" s="34"/>
      <c r="AD70" s="34"/>
      <c r="AE70" s="34"/>
      <c r="AF70" s="227"/>
      <c r="AG70" s="227"/>
      <c r="AH70" s="227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7"/>
      <c r="AT70" s="227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7"/>
      <c r="BF70" s="227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7"/>
      <c r="BR70" s="227"/>
      <c r="BS70" s="227"/>
      <c r="BT70" s="227"/>
      <c r="BU70" s="227"/>
      <c r="BV70" s="223">
        <v>43653.708333333336</v>
      </c>
      <c r="BW70" s="227"/>
      <c r="BX70" s="227"/>
      <c r="BY70" s="227"/>
      <c r="BZ70" s="227"/>
      <c r="CA70" s="227"/>
      <c r="CB70" s="226"/>
      <c r="CC70" s="226"/>
      <c r="CD70" s="226"/>
      <c r="CE70" s="226"/>
      <c r="CF70" s="226"/>
      <c r="CG70" s="226"/>
      <c r="CH70" s="226"/>
      <c r="CI70" s="226"/>
      <c r="CJ70" s="226"/>
      <c r="CK70" s="226"/>
      <c r="CL70" s="226"/>
      <c r="CM70" s="226"/>
      <c r="CN70" s="226"/>
      <c r="CO70" s="226"/>
      <c r="CP70" s="226"/>
      <c r="CQ70" s="226"/>
      <c r="CR70" s="226"/>
      <c r="CS70" s="226"/>
      <c r="CT70" s="226"/>
      <c r="CU70" s="226"/>
      <c r="CV70" s="226"/>
      <c r="CW70" s="226"/>
      <c r="CX70" s="226"/>
      <c r="CY70" s="226"/>
      <c r="CZ70" s="226"/>
      <c r="DA70" s="226"/>
      <c r="DB70" s="226"/>
      <c r="DC70" s="226"/>
      <c r="DD70" s="226"/>
      <c r="DE70" s="226"/>
      <c r="DF70" s="226"/>
      <c r="DG70" s="226"/>
      <c r="DH70" s="226"/>
      <c r="DI70" s="226"/>
      <c r="DJ70" s="226"/>
      <c r="DK70" s="226"/>
      <c r="DL70" s="226"/>
      <c r="DM70" s="226"/>
      <c r="DN70" s="226"/>
      <c r="DO70" s="226"/>
      <c r="DP70" s="226"/>
      <c r="DQ70" s="226"/>
    </row>
    <row r="71" spans="1:121" s="33" customFormat="1"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4"/>
      <c r="AB71" s="35"/>
      <c r="AC71" s="34"/>
      <c r="AD71" s="34"/>
      <c r="AE71" s="34"/>
      <c r="AF71" s="227"/>
      <c r="AG71" s="227"/>
      <c r="AH71" s="227"/>
      <c r="AI71" s="227"/>
      <c r="AJ71" s="227"/>
      <c r="AK71" s="227"/>
      <c r="AL71" s="227"/>
      <c r="AM71" s="227"/>
      <c r="AN71" s="227"/>
      <c r="AO71" s="227"/>
      <c r="AP71" s="227"/>
      <c r="AQ71" s="227"/>
      <c r="AR71" s="227"/>
      <c r="AS71" s="227"/>
      <c r="AT71" s="227"/>
      <c r="AU71" s="227"/>
      <c r="AV71" s="227"/>
      <c r="AW71" s="227"/>
      <c r="AX71" s="227"/>
      <c r="AY71" s="227"/>
      <c r="AZ71" s="227"/>
      <c r="BA71" s="227"/>
      <c r="BB71" s="227"/>
      <c r="BC71" s="227"/>
      <c r="BD71" s="227"/>
      <c r="BE71" s="227"/>
      <c r="BF71" s="227"/>
      <c r="BG71" s="227"/>
      <c r="BH71" s="227"/>
      <c r="BI71" s="227"/>
      <c r="BJ71" s="227"/>
      <c r="BK71" s="227"/>
      <c r="BL71" s="227"/>
      <c r="BM71" s="227"/>
      <c r="BN71" s="227"/>
      <c r="BO71" s="227"/>
      <c r="BP71" s="227"/>
      <c r="BQ71" s="227"/>
      <c r="BR71" s="227"/>
      <c r="BS71" s="227"/>
      <c r="BT71" s="227"/>
      <c r="BU71" s="227"/>
      <c r="BV71" s="226"/>
      <c r="BW71" s="227"/>
      <c r="BX71" s="227"/>
      <c r="BY71" s="227"/>
      <c r="BZ71" s="227"/>
      <c r="CA71" s="227"/>
      <c r="CB71" s="226"/>
      <c r="CC71" s="226"/>
      <c r="CD71" s="226"/>
      <c r="CE71" s="226"/>
      <c r="CF71" s="226"/>
      <c r="CG71" s="226"/>
      <c r="CH71" s="226"/>
      <c r="CI71" s="226"/>
      <c r="CJ71" s="226"/>
      <c r="CK71" s="226"/>
      <c r="CL71" s="226"/>
      <c r="CM71" s="226"/>
      <c r="CN71" s="226"/>
      <c r="CO71" s="226"/>
      <c r="CP71" s="226"/>
      <c r="CQ71" s="226"/>
      <c r="CR71" s="226"/>
      <c r="CS71" s="226"/>
      <c r="CT71" s="226"/>
      <c r="CU71" s="226"/>
      <c r="CV71" s="226"/>
      <c r="CW71" s="226"/>
      <c r="CX71" s="226"/>
      <c r="CY71" s="226"/>
      <c r="CZ71" s="226"/>
      <c r="DA71" s="226"/>
      <c r="DB71" s="226"/>
      <c r="DC71" s="226"/>
      <c r="DD71" s="226"/>
      <c r="DE71" s="226"/>
      <c r="DF71" s="226"/>
      <c r="DG71" s="226"/>
      <c r="DH71" s="226"/>
      <c r="DI71" s="226"/>
      <c r="DJ71" s="226"/>
      <c r="DK71" s="226"/>
      <c r="DL71" s="226"/>
      <c r="DM71" s="226"/>
      <c r="DN71" s="226"/>
      <c r="DO71" s="226"/>
      <c r="DP71" s="226"/>
      <c r="DQ71" s="226"/>
    </row>
    <row r="72" spans="1:121" s="33" customFormat="1"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4"/>
      <c r="AB72" s="35"/>
      <c r="AC72" s="34"/>
      <c r="AD72" s="34"/>
      <c r="AE72" s="34"/>
      <c r="AF72" s="227"/>
      <c r="AG72" s="227"/>
      <c r="AH72" s="227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7"/>
      <c r="AT72" s="227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7"/>
      <c r="BF72" s="227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7"/>
      <c r="BR72" s="227"/>
      <c r="BS72" s="227"/>
      <c r="BT72" s="227"/>
      <c r="BU72" s="227"/>
      <c r="BV72" s="226"/>
      <c r="BW72" s="227"/>
      <c r="BX72" s="227"/>
      <c r="BY72" s="227"/>
      <c r="BZ72" s="227"/>
      <c r="CA72" s="227"/>
      <c r="CB72" s="226"/>
      <c r="CC72" s="226"/>
      <c r="CD72" s="226"/>
      <c r="CE72" s="226"/>
      <c r="CF72" s="226"/>
      <c r="CG72" s="226"/>
      <c r="CH72" s="226"/>
      <c r="CI72" s="226"/>
      <c r="CJ72" s="226"/>
      <c r="CK72" s="226"/>
      <c r="CL72" s="226"/>
      <c r="CM72" s="226"/>
      <c r="CN72" s="226"/>
      <c r="CO72" s="226"/>
      <c r="CP72" s="226"/>
      <c r="CQ72" s="226"/>
      <c r="CR72" s="226"/>
      <c r="CS72" s="226"/>
      <c r="CT72" s="226"/>
      <c r="CU72" s="226"/>
      <c r="CV72" s="226"/>
      <c r="CW72" s="226"/>
      <c r="CX72" s="226"/>
      <c r="CY72" s="226"/>
      <c r="CZ72" s="226"/>
      <c r="DA72" s="226"/>
      <c r="DB72" s="226"/>
      <c r="DC72" s="226"/>
      <c r="DD72" s="226"/>
      <c r="DE72" s="226"/>
      <c r="DF72" s="226"/>
      <c r="DG72" s="226"/>
      <c r="DH72" s="226"/>
      <c r="DI72" s="226"/>
      <c r="DJ72" s="226"/>
      <c r="DK72" s="226"/>
      <c r="DL72" s="226"/>
      <c r="DM72" s="226"/>
      <c r="DN72" s="226"/>
      <c r="DO72" s="226"/>
      <c r="DP72" s="226"/>
      <c r="DQ72" s="226"/>
    </row>
    <row r="73" spans="1:121" s="33" customFormat="1"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4"/>
      <c r="AB73" s="35"/>
      <c r="AC73" s="34"/>
      <c r="AD73" s="34"/>
      <c r="AE73" s="34"/>
      <c r="AF73" s="227"/>
      <c r="AG73" s="227"/>
      <c r="AH73" s="227"/>
      <c r="AI73" s="227"/>
      <c r="AJ73" s="227"/>
      <c r="AK73" s="227"/>
      <c r="AL73" s="227"/>
      <c r="AM73" s="227"/>
      <c r="AN73" s="227"/>
      <c r="AO73" s="227"/>
      <c r="AP73" s="227"/>
      <c r="AQ73" s="227"/>
      <c r="AR73" s="227"/>
      <c r="AS73" s="227"/>
      <c r="AT73" s="227"/>
      <c r="AU73" s="227"/>
      <c r="AV73" s="227"/>
      <c r="AW73" s="227"/>
      <c r="AX73" s="227"/>
      <c r="AY73" s="227"/>
      <c r="AZ73" s="227"/>
      <c r="BA73" s="227"/>
      <c r="BB73" s="227"/>
      <c r="BC73" s="227"/>
      <c r="BD73" s="227"/>
      <c r="BE73" s="227"/>
      <c r="BF73" s="227"/>
      <c r="BG73" s="227"/>
      <c r="BH73" s="227"/>
      <c r="BI73" s="227"/>
      <c r="BJ73" s="227"/>
      <c r="BK73" s="227"/>
      <c r="BL73" s="227"/>
      <c r="BM73" s="227"/>
      <c r="BN73" s="227"/>
      <c r="BO73" s="227"/>
      <c r="BP73" s="227"/>
      <c r="BQ73" s="227"/>
      <c r="BR73" s="227"/>
      <c r="BS73" s="227"/>
      <c r="BT73" s="227"/>
      <c r="BU73" s="227"/>
      <c r="BV73" s="226"/>
      <c r="BW73" s="227"/>
      <c r="BX73" s="227"/>
      <c r="BY73" s="227"/>
      <c r="BZ73" s="227"/>
      <c r="CA73" s="227"/>
      <c r="CB73" s="226"/>
      <c r="CC73" s="226"/>
      <c r="CD73" s="226"/>
      <c r="CE73" s="226"/>
      <c r="CF73" s="226"/>
      <c r="CG73" s="226"/>
      <c r="CH73" s="226"/>
      <c r="CI73" s="226"/>
      <c r="CJ73" s="226"/>
      <c r="CK73" s="226"/>
      <c r="CL73" s="226"/>
      <c r="CM73" s="226"/>
      <c r="CN73" s="226"/>
      <c r="CO73" s="226"/>
      <c r="CP73" s="226"/>
      <c r="CQ73" s="226"/>
      <c r="CR73" s="226"/>
      <c r="CS73" s="226"/>
      <c r="CT73" s="226"/>
      <c r="CU73" s="226"/>
      <c r="CV73" s="226"/>
      <c r="CW73" s="226"/>
      <c r="CX73" s="226"/>
      <c r="CY73" s="226"/>
      <c r="CZ73" s="226"/>
      <c r="DA73" s="226"/>
      <c r="DB73" s="226"/>
      <c r="DC73" s="226"/>
      <c r="DD73" s="226"/>
      <c r="DE73" s="226"/>
      <c r="DF73" s="226"/>
      <c r="DG73" s="226"/>
      <c r="DH73" s="226"/>
      <c r="DI73" s="226"/>
      <c r="DJ73" s="226"/>
      <c r="DK73" s="226"/>
      <c r="DL73" s="226"/>
      <c r="DM73" s="226"/>
      <c r="DN73" s="226"/>
      <c r="DO73" s="226"/>
      <c r="DP73" s="226"/>
      <c r="DQ73" s="226"/>
    </row>
    <row r="74" spans="1:121" s="33" customFormat="1">
      <c r="C74" s="32"/>
      <c r="D74" s="32"/>
      <c r="E74" s="32"/>
      <c r="F74" s="32"/>
      <c r="G74" s="32"/>
      <c r="H74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4"/>
      <c r="AB74" s="35"/>
      <c r="AC74" s="34"/>
      <c r="AD74" s="34"/>
      <c r="AE74" s="34"/>
      <c r="AF74" s="227"/>
      <c r="AG74" s="227"/>
      <c r="AH74" s="227"/>
      <c r="AI74" s="227"/>
      <c r="AJ74" s="227"/>
      <c r="AK74" s="227"/>
      <c r="AL74" s="227"/>
      <c r="AM74" s="227"/>
      <c r="AN74" s="227"/>
      <c r="AO74" s="227"/>
      <c r="AP74" s="227"/>
      <c r="AQ74" s="227"/>
      <c r="AR74" s="227"/>
      <c r="AS74" s="227"/>
      <c r="AT74" s="227"/>
      <c r="AU74" s="227"/>
      <c r="AV74" s="227"/>
      <c r="AW74" s="227"/>
      <c r="AX74" s="227"/>
      <c r="AY74" s="227"/>
      <c r="AZ74" s="227"/>
      <c r="BA74" s="227"/>
      <c r="BB74" s="227"/>
      <c r="BC74" s="227"/>
      <c r="BD74" s="227"/>
      <c r="BE74" s="227"/>
      <c r="BF74" s="227"/>
      <c r="BG74" s="227"/>
      <c r="BH74" s="227"/>
      <c r="BI74" s="227"/>
      <c r="BJ74" s="227"/>
      <c r="BK74" s="227"/>
      <c r="BL74" s="227"/>
      <c r="BM74" s="227"/>
      <c r="BN74" s="227"/>
      <c r="BO74" s="227"/>
      <c r="BP74" s="227"/>
      <c r="BQ74" s="227"/>
      <c r="BR74" s="227"/>
      <c r="BS74" s="227"/>
      <c r="BT74" s="227"/>
      <c r="BU74" s="227"/>
      <c r="BV74" s="226"/>
      <c r="BW74" s="227"/>
      <c r="BX74" s="227"/>
      <c r="BY74" s="227"/>
      <c r="BZ74" s="227"/>
      <c r="CA74" s="227"/>
      <c r="CB74" s="226"/>
      <c r="CC74" s="226"/>
      <c r="CD74" s="226"/>
      <c r="CE74" s="226"/>
      <c r="CF74" s="226"/>
      <c r="CG74" s="226"/>
      <c r="CH74" s="226"/>
      <c r="CI74" s="226"/>
      <c r="CJ74" s="226"/>
      <c r="CK74" s="226"/>
      <c r="CL74" s="226"/>
      <c r="CM74" s="226"/>
      <c r="CN74" s="226"/>
      <c r="CO74" s="226"/>
      <c r="CP74" s="226"/>
      <c r="CQ74" s="226"/>
      <c r="CR74" s="226"/>
      <c r="CS74" s="226"/>
      <c r="CT74" s="226"/>
      <c r="CU74" s="226"/>
      <c r="CV74" s="226"/>
      <c r="CW74" s="226"/>
      <c r="CX74" s="226"/>
      <c r="CY74" s="226"/>
      <c r="CZ74" s="226"/>
      <c r="DA74" s="226"/>
      <c r="DB74" s="226"/>
      <c r="DC74" s="226"/>
      <c r="DD74" s="226"/>
      <c r="DE74" s="226"/>
      <c r="DF74" s="226"/>
      <c r="DG74" s="226"/>
      <c r="DH74" s="226"/>
      <c r="DI74" s="226"/>
      <c r="DJ74" s="226"/>
      <c r="DK74" s="226"/>
      <c r="DL74" s="226"/>
      <c r="DM74" s="226"/>
      <c r="DN74" s="226"/>
      <c r="DO74" s="226"/>
      <c r="DP74" s="226"/>
      <c r="DQ74" s="226"/>
    </row>
    <row r="75" spans="1:121" s="33" customFormat="1"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4"/>
      <c r="AB75" s="35"/>
      <c r="AC75" s="34"/>
      <c r="AD75" s="34"/>
      <c r="AE75" s="34"/>
      <c r="AF75" s="227"/>
      <c r="AG75" s="227"/>
      <c r="AH75" s="227"/>
      <c r="AI75" s="227"/>
      <c r="AJ75" s="227"/>
      <c r="AK75" s="227"/>
      <c r="AL75" s="227"/>
      <c r="AM75" s="227"/>
      <c r="AN75" s="227"/>
      <c r="AO75" s="227"/>
      <c r="AP75" s="227"/>
      <c r="AQ75" s="227"/>
      <c r="AR75" s="227"/>
      <c r="AS75" s="227"/>
      <c r="AT75" s="227"/>
      <c r="AU75" s="227"/>
      <c r="AV75" s="227"/>
      <c r="AW75" s="227"/>
      <c r="AX75" s="227"/>
      <c r="AY75" s="227"/>
      <c r="AZ75" s="227"/>
      <c r="BA75" s="227"/>
      <c r="BB75" s="227"/>
      <c r="BC75" s="227"/>
      <c r="BD75" s="227"/>
      <c r="BE75" s="227"/>
      <c r="BF75" s="227"/>
      <c r="BG75" s="227"/>
      <c r="BH75" s="227"/>
      <c r="BI75" s="227"/>
      <c r="BJ75" s="227"/>
      <c r="BK75" s="227"/>
      <c r="BL75" s="227"/>
      <c r="BM75" s="227"/>
      <c r="BN75" s="227"/>
      <c r="BO75" s="227"/>
      <c r="BP75" s="227"/>
      <c r="BQ75" s="227"/>
      <c r="BR75" s="227"/>
      <c r="BS75" s="227"/>
      <c r="BT75" s="227"/>
      <c r="BU75" s="227"/>
      <c r="BV75" s="226"/>
      <c r="BW75" s="227"/>
      <c r="BX75" s="227"/>
      <c r="BY75" s="227"/>
      <c r="BZ75" s="227"/>
      <c r="CA75" s="227"/>
      <c r="CB75" s="226"/>
      <c r="CC75" s="226"/>
      <c r="CD75" s="226"/>
      <c r="CE75" s="226"/>
      <c r="CF75" s="226"/>
      <c r="CG75" s="226"/>
      <c r="CH75" s="226"/>
      <c r="CI75" s="226"/>
      <c r="CJ75" s="226"/>
      <c r="CK75" s="226"/>
      <c r="CL75" s="226"/>
      <c r="CM75" s="226"/>
      <c r="CN75" s="226"/>
      <c r="CO75" s="226"/>
      <c r="CP75" s="226"/>
      <c r="CQ75" s="226"/>
      <c r="CR75" s="226"/>
      <c r="CS75" s="226"/>
      <c r="CT75" s="226"/>
      <c r="CU75" s="226"/>
      <c r="CV75" s="226"/>
      <c r="CW75" s="226"/>
      <c r="CX75" s="226"/>
      <c r="CY75" s="226"/>
      <c r="CZ75" s="226"/>
      <c r="DA75" s="226"/>
      <c r="DB75" s="226"/>
      <c r="DC75" s="226"/>
      <c r="DD75" s="226"/>
      <c r="DE75" s="226"/>
      <c r="DF75" s="226"/>
      <c r="DG75" s="226"/>
      <c r="DH75" s="226"/>
      <c r="DI75" s="226"/>
      <c r="DJ75" s="226"/>
      <c r="DK75" s="226"/>
      <c r="DL75" s="226"/>
      <c r="DM75" s="226"/>
      <c r="DN75" s="226"/>
      <c r="DO75" s="226"/>
      <c r="DP75" s="226"/>
      <c r="DQ75" s="226"/>
    </row>
    <row r="76" spans="1:121" s="33" customFormat="1"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4"/>
      <c r="AB76" s="35"/>
      <c r="AC76" s="34"/>
      <c r="AD76" s="34"/>
      <c r="AE76" s="34"/>
      <c r="AF76" s="227"/>
      <c r="AG76" s="227"/>
      <c r="AH76" s="227"/>
      <c r="AI76" s="227"/>
      <c r="AJ76" s="227"/>
      <c r="AK76" s="227"/>
      <c r="AL76" s="227"/>
      <c r="AM76" s="227"/>
      <c r="AN76" s="227"/>
      <c r="AO76" s="227"/>
      <c r="AP76" s="227"/>
      <c r="AQ76" s="227"/>
      <c r="AR76" s="227"/>
      <c r="AS76" s="227"/>
      <c r="AT76" s="227"/>
      <c r="AU76" s="227"/>
      <c r="AV76" s="227"/>
      <c r="AW76" s="227"/>
      <c r="AX76" s="227"/>
      <c r="AY76" s="227"/>
      <c r="AZ76" s="227"/>
      <c r="BA76" s="227"/>
      <c r="BB76" s="227"/>
      <c r="BC76" s="227"/>
      <c r="BD76" s="227"/>
      <c r="BE76" s="227"/>
      <c r="BF76" s="227"/>
      <c r="BG76" s="227"/>
      <c r="BH76" s="227"/>
      <c r="BI76" s="227"/>
      <c r="BJ76" s="227"/>
      <c r="BK76" s="227"/>
      <c r="BL76" s="227"/>
      <c r="BM76" s="227"/>
      <c r="BN76" s="227"/>
      <c r="BO76" s="227"/>
      <c r="BP76" s="227"/>
      <c r="BQ76" s="227"/>
      <c r="BR76" s="227"/>
      <c r="BS76" s="227"/>
      <c r="BT76" s="227"/>
      <c r="BU76" s="227"/>
      <c r="BV76" s="226"/>
      <c r="BW76" s="227"/>
      <c r="BX76" s="227"/>
      <c r="BY76" s="227"/>
      <c r="BZ76" s="227"/>
      <c r="CA76" s="227"/>
      <c r="CB76" s="226"/>
      <c r="CC76" s="226"/>
      <c r="CD76" s="226"/>
      <c r="CE76" s="226"/>
      <c r="CF76" s="226"/>
      <c r="CG76" s="226"/>
      <c r="CH76" s="226"/>
      <c r="CI76" s="226"/>
      <c r="CJ76" s="226"/>
      <c r="CK76" s="226"/>
      <c r="CL76" s="226"/>
      <c r="CM76" s="226"/>
      <c r="CN76" s="226"/>
      <c r="CO76" s="226"/>
      <c r="CP76" s="226"/>
      <c r="CQ76" s="226"/>
      <c r="CR76" s="226"/>
      <c r="CS76" s="226"/>
      <c r="CT76" s="226"/>
      <c r="CU76" s="226"/>
      <c r="CV76" s="226"/>
      <c r="CW76" s="226"/>
      <c r="CX76" s="226"/>
      <c r="CY76" s="226"/>
      <c r="CZ76" s="226"/>
      <c r="DA76" s="226"/>
      <c r="DB76" s="226"/>
      <c r="DC76" s="226"/>
      <c r="DD76" s="226"/>
      <c r="DE76" s="226"/>
      <c r="DF76" s="226"/>
      <c r="DG76" s="226"/>
      <c r="DH76" s="226"/>
      <c r="DI76" s="226"/>
      <c r="DJ76" s="226"/>
      <c r="DK76" s="226"/>
      <c r="DL76" s="226"/>
      <c r="DM76" s="226"/>
      <c r="DN76" s="226"/>
      <c r="DO76" s="226"/>
      <c r="DP76" s="226"/>
      <c r="DQ76" s="226"/>
    </row>
    <row r="77" spans="1:121" s="33" customFormat="1">
      <c r="C77" s="32"/>
      <c r="D77" s="32"/>
      <c r="E77" s="32"/>
      <c r="F77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4"/>
      <c r="AB77" s="35"/>
      <c r="AC77" s="34"/>
      <c r="AD77" s="34"/>
      <c r="AE77" s="34"/>
      <c r="AF77" s="227"/>
      <c r="AG77" s="227"/>
      <c r="AH77" s="227"/>
      <c r="AI77" s="227"/>
      <c r="AJ77" s="227"/>
      <c r="AK77" s="227"/>
      <c r="AL77" s="227"/>
      <c r="AM77" s="227"/>
      <c r="AN77" s="227"/>
      <c r="AO77" s="227"/>
      <c r="AP77" s="227"/>
      <c r="AQ77" s="227"/>
      <c r="AR77" s="227"/>
      <c r="AS77" s="227"/>
      <c r="AT77" s="227"/>
      <c r="AU77" s="227"/>
      <c r="AV77" s="227"/>
      <c r="AW77" s="227"/>
      <c r="AX77" s="227"/>
      <c r="AY77" s="227"/>
      <c r="AZ77" s="227"/>
      <c r="BA77" s="227"/>
      <c r="BB77" s="227"/>
      <c r="BC77" s="227"/>
      <c r="BD77" s="227"/>
      <c r="BE77" s="227"/>
      <c r="BF77" s="227"/>
      <c r="BG77" s="227"/>
      <c r="BH77" s="227"/>
      <c r="BI77" s="227"/>
      <c r="BJ77" s="227"/>
      <c r="BK77" s="227"/>
      <c r="BL77" s="227"/>
      <c r="BM77" s="227"/>
      <c r="BN77" s="227"/>
      <c r="BO77" s="227"/>
      <c r="BP77" s="227"/>
      <c r="BQ77" s="227"/>
      <c r="BR77" s="227"/>
      <c r="BS77" s="227"/>
      <c r="BT77" s="227"/>
      <c r="BU77" s="227"/>
      <c r="BV77" s="226"/>
      <c r="BW77" s="227"/>
      <c r="BX77" s="227"/>
      <c r="BY77" s="227"/>
      <c r="BZ77" s="227"/>
      <c r="CA77" s="227"/>
      <c r="CB77" s="226"/>
      <c r="CC77" s="226"/>
      <c r="CD77" s="226"/>
      <c r="CE77" s="226"/>
      <c r="CF77" s="226"/>
      <c r="CG77" s="226"/>
      <c r="CH77" s="226"/>
      <c r="CI77" s="226"/>
      <c r="CJ77" s="226"/>
      <c r="CK77" s="226"/>
      <c r="CL77" s="226"/>
      <c r="CM77" s="226"/>
      <c r="CN77" s="226"/>
      <c r="CO77" s="226"/>
      <c r="CP77" s="226"/>
      <c r="CQ77" s="226"/>
      <c r="CR77" s="226"/>
      <c r="CS77" s="226"/>
      <c r="CT77" s="226"/>
      <c r="CU77" s="226"/>
      <c r="CV77" s="226"/>
      <c r="CW77" s="226"/>
      <c r="CX77" s="226"/>
      <c r="CY77" s="226"/>
      <c r="CZ77" s="226"/>
      <c r="DA77" s="226"/>
      <c r="DB77" s="226"/>
      <c r="DC77" s="226"/>
      <c r="DD77" s="226"/>
      <c r="DE77" s="226"/>
      <c r="DF77" s="226"/>
      <c r="DG77" s="226"/>
      <c r="DH77" s="226"/>
      <c r="DI77" s="226"/>
      <c r="DJ77" s="226"/>
      <c r="DK77" s="226"/>
      <c r="DL77" s="226"/>
      <c r="DM77" s="226"/>
      <c r="DN77" s="226"/>
      <c r="DO77" s="226"/>
      <c r="DP77" s="226"/>
      <c r="DQ77" s="226"/>
    </row>
    <row r="78" spans="1:121" s="33" customFormat="1">
      <c r="C78" s="32"/>
      <c r="D78" s="32"/>
      <c r="E78" s="32"/>
      <c r="F78" s="32"/>
      <c r="G78" s="32"/>
      <c r="H78" s="32"/>
      <c r="I78" s="32"/>
      <c r="J78" s="32"/>
      <c r="K78" s="32"/>
      <c r="L78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4"/>
      <c r="AB78" s="35"/>
      <c r="AC78" s="34"/>
      <c r="AD78" s="34"/>
      <c r="AE78" s="34"/>
      <c r="AF78" s="227"/>
      <c r="AG78" s="227"/>
      <c r="AH78" s="227"/>
      <c r="AI78" s="227"/>
      <c r="AJ78" s="227"/>
      <c r="AK78" s="227"/>
      <c r="AL78" s="227"/>
      <c r="AM78" s="227"/>
      <c r="AN78" s="227"/>
      <c r="AO78" s="227"/>
      <c r="AP78" s="227"/>
      <c r="AQ78" s="227"/>
      <c r="AR78" s="227"/>
      <c r="AS78" s="227"/>
      <c r="AT78" s="227"/>
      <c r="AU78" s="227"/>
      <c r="AV78" s="227"/>
      <c r="AW78" s="227"/>
      <c r="AX78" s="227"/>
      <c r="AY78" s="227"/>
      <c r="AZ78" s="227"/>
      <c r="BA78" s="227"/>
      <c r="BB78" s="227"/>
      <c r="BC78" s="227"/>
      <c r="BD78" s="227"/>
      <c r="BE78" s="227"/>
      <c r="BF78" s="227"/>
      <c r="BG78" s="227"/>
      <c r="BH78" s="227"/>
      <c r="BI78" s="227"/>
      <c r="BJ78" s="227"/>
      <c r="BK78" s="227"/>
      <c r="BL78" s="227"/>
      <c r="BM78" s="227"/>
      <c r="BN78" s="227"/>
      <c r="BO78" s="227"/>
      <c r="BP78" s="227"/>
      <c r="BQ78" s="227"/>
      <c r="BR78" s="227"/>
      <c r="BS78" s="227"/>
      <c r="BT78" s="227"/>
      <c r="BU78" s="227"/>
      <c r="BV78" s="226"/>
      <c r="BW78" s="227"/>
      <c r="BX78" s="227"/>
      <c r="BY78" s="227"/>
      <c r="BZ78" s="227"/>
      <c r="CA78" s="227"/>
      <c r="CB78" s="226"/>
      <c r="CC78" s="226"/>
      <c r="CD78" s="226"/>
      <c r="CE78" s="226"/>
      <c r="CF78" s="226"/>
      <c r="CG78" s="226"/>
      <c r="CH78" s="226"/>
      <c r="CI78" s="226"/>
      <c r="CJ78" s="226"/>
      <c r="CK78" s="226"/>
      <c r="CL78" s="226"/>
      <c r="CM78" s="226"/>
      <c r="CN78" s="226"/>
      <c r="CO78" s="226"/>
      <c r="CP78" s="226"/>
      <c r="CQ78" s="226"/>
      <c r="CR78" s="226"/>
      <c r="CS78" s="226"/>
      <c r="CT78" s="226"/>
      <c r="CU78" s="226"/>
      <c r="CV78" s="226"/>
      <c r="CW78" s="226"/>
      <c r="CX78" s="226"/>
      <c r="CY78" s="226"/>
      <c r="CZ78" s="226"/>
      <c r="DA78" s="226"/>
      <c r="DB78" s="226"/>
      <c r="DC78" s="226"/>
      <c r="DD78" s="226"/>
      <c r="DE78" s="226"/>
      <c r="DF78" s="226"/>
      <c r="DG78" s="226"/>
      <c r="DH78" s="226"/>
      <c r="DI78" s="226"/>
      <c r="DJ78" s="226"/>
      <c r="DK78" s="226"/>
      <c r="DL78" s="226"/>
      <c r="DM78" s="226"/>
      <c r="DN78" s="226"/>
      <c r="DO78" s="226"/>
      <c r="DP78" s="226"/>
      <c r="DQ78" s="226"/>
    </row>
    <row r="79" spans="1:121" s="33" customFormat="1"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4"/>
      <c r="AB79" s="35"/>
      <c r="AC79" s="34"/>
      <c r="AD79" s="34"/>
      <c r="AE79" s="34"/>
      <c r="AF79" s="227"/>
      <c r="AG79" s="227"/>
      <c r="AH79" s="227"/>
      <c r="AI79" s="227"/>
      <c r="AJ79" s="227"/>
      <c r="AK79" s="227"/>
      <c r="AL79" s="227"/>
      <c r="AM79" s="227"/>
      <c r="AN79" s="227"/>
      <c r="AO79" s="227"/>
      <c r="AP79" s="227"/>
      <c r="AQ79" s="227"/>
      <c r="AR79" s="227"/>
      <c r="AS79" s="227"/>
      <c r="AT79" s="227"/>
      <c r="AU79" s="227"/>
      <c r="AV79" s="227"/>
      <c r="AW79" s="227"/>
      <c r="AX79" s="227"/>
      <c r="AY79" s="227"/>
      <c r="AZ79" s="227"/>
      <c r="BA79" s="227"/>
      <c r="BB79" s="227"/>
      <c r="BC79" s="227"/>
      <c r="BD79" s="227"/>
      <c r="BE79" s="227"/>
      <c r="BF79" s="227"/>
      <c r="BG79" s="227"/>
      <c r="BH79" s="227"/>
      <c r="BI79" s="227"/>
      <c r="BJ79" s="227"/>
      <c r="BK79" s="227"/>
      <c r="BL79" s="227"/>
      <c r="BM79" s="227"/>
      <c r="BN79" s="227"/>
      <c r="BO79" s="227"/>
      <c r="BP79" s="227"/>
      <c r="BQ79" s="227"/>
      <c r="BR79" s="227"/>
      <c r="BS79" s="227"/>
      <c r="BT79" s="227"/>
      <c r="BU79" s="227"/>
      <c r="BV79" s="226"/>
      <c r="BW79" s="227"/>
      <c r="BX79" s="227"/>
      <c r="BY79" s="227"/>
      <c r="BZ79" s="227"/>
      <c r="CA79" s="227"/>
      <c r="CB79" s="226"/>
      <c r="CC79" s="226"/>
      <c r="CD79" s="226"/>
      <c r="CE79" s="226"/>
      <c r="CF79" s="226"/>
      <c r="CG79" s="226"/>
      <c r="CH79" s="226"/>
      <c r="CI79" s="226"/>
      <c r="CJ79" s="226"/>
      <c r="CK79" s="226"/>
      <c r="CL79" s="226"/>
      <c r="CM79" s="226"/>
      <c r="CN79" s="226"/>
      <c r="CO79" s="226"/>
      <c r="CP79" s="226"/>
      <c r="CQ79" s="226"/>
      <c r="CR79" s="226"/>
      <c r="CS79" s="226"/>
      <c r="CT79" s="226"/>
      <c r="CU79" s="226"/>
      <c r="CV79" s="226"/>
      <c r="CW79" s="226"/>
      <c r="CX79" s="226"/>
      <c r="CY79" s="226"/>
      <c r="CZ79" s="226"/>
      <c r="DA79" s="226"/>
      <c r="DB79" s="226"/>
      <c r="DC79" s="226"/>
      <c r="DD79" s="226"/>
      <c r="DE79" s="226"/>
      <c r="DF79" s="226"/>
      <c r="DG79" s="226"/>
      <c r="DH79" s="226"/>
      <c r="DI79" s="226"/>
      <c r="DJ79" s="226"/>
      <c r="DK79" s="226"/>
      <c r="DL79" s="226"/>
      <c r="DM79" s="226"/>
      <c r="DN79" s="226"/>
      <c r="DO79" s="226"/>
      <c r="DP79" s="226"/>
      <c r="DQ79" s="226"/>
    </row>
    <row r="80" spans="1:121" s="33" customFormat="1"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4"/>
      <c r="AB80" s="35"/>
      <c r="AC80" s="34"/>
      <c r="AD80" s="34"/>
      <c r="AE80" s="34"/>
      <c r="AF80" s="227"/>
      <c r="AG80" s="227"/>
      <c r="AH80" s="227"/>
      <c r="AI80" s="227"/>
      <c r="AJ80" s="227"/>
      <c r="AK80" s="227"/>
      <c r="AL80" s="227"/>
      <c r="AM80" s="227"/>
      <c r="AN80" s="227"/>
      <c r="AO80" s="227"/>
      <c r="AP80" s="227"/>
      <c r="AQ80" s="227"/>
      <c r="AR80" s="227"/>
      <c r="AS80" s="227"/>
      <c r="AT80" s="227"/>
      <c r="AU80" s="227"/>
      <c r="AV80" s="227"/>
      <c r="AW80" s="227"/>
      <c r="AX80" s="227"/>
      <c r="AY80" s="227"/>
      <c r="AZ80" s="227"/>
      <c r="BA80" s="227"/>
      <c r="BB80" s="227"/>
      <c r="BC80" s="227"/>
      <c r="BD80" s="227"/>
      <c r="BE80" s="227"/>
      <c r="BF80" s="227"/>
      <c r="BG80" s="227"/>
      <c r="BH80" s="227"/>
      <c r="BI80" s="227"/>
      <c r="BJ80" s="227"/>
      <c r="BK80" s="227"/>
      <c r="BL80" s="227"/>
      <c r="BM80" s="227"/>
      <c r="BN80" s="227"/>
      <c r="BO80" s="227"/>
      <c r="BP80" s="227"/>
      <c r="BQ80" s="227"/>
      <c r="BR80" s="227"/>
      <c r="BS80" s="227"/>
      <c r="BT80" s="227"/>
      <c r="BU80" s="227"/>
      <c r="BV80" s="226"/>
      <c r="BW80" s="227"/>
      <c r="BX80" s="227"/>
      <c r="BY80" s="227"/>
      <c r="BZ80" s="227"/>
      <c r="CA80" s="227"/>
      <c r="CB80" s="226"/>
      <c r="CC80" s="226"/>
      <c r="CD80" s="226"/>
      <c r="CE80" s="226"/>
      <c r="CF80" s="226"/>
      <c r="CG80" s="226"/>
      <c r="CH80" s="226"/>
      <c r="CI80" s="226"/>
      <c r="CJ80" s="226"/>
      <c r="CK80" s="226"/>
      <c r="CL80" s="226"/>
      <c r="CM80" s="226"/>
      <c r="CN80" s="226"/>
      <c r="CO80" s="226"/>
      <c r="CP80" s="226"/>
      <c r="CQ80" s="226"/>
      <c r="CR80" s="226"/>
      <c r="CS80" s="226"/>
      <c r="CT80" s="226"/>
      <c r="CU80" s="226"/>
      <c r="CV80" s="226"/>
      <c r="CW80" s="226"/>
      <c r="CX80" s="226"/>
      <c r="CY80" s="226"/>
      <c r="CZ80" s="226"/>
      <c r="DA80" s="226"/>
      <c r="DB80" s="226"/>
      <c r="DC80" s="226"/>
      <c r="DD80" s="226"/>
      <c r="DE80" s="226"/>
      <c r="DF80" s="226"/>
      <c r="DG80" s="226"/>
      <c r="DH80" s="226"/>
      <c r="DI80" s="226"/>
      <c r="DJ80" s="226"/>
      <c r="DK80" s="226"/>
      <c r="DL80" s="226"/>
      <c r="DM80" s="226"/>
      <c r="DN80" s="226"/>
      <c r="DO80" s="226"/>
      <c r="DP80" s="226"/>
      <c r="DQ80" s="226"/>
    </row>
    <row r="81" spans="3:845 12603:12603" s="33" customFormat="1"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4"/>
      <c r="AB81" s="35"/>
      <c r="AC81" s="34"/>
      <c r="AD81" s="34"/>
      <c r="AE81" s="34"/>
      <c r="AF81" s="227"/>
      <c r="AG81" s="227"/>
      <c r="AH81" s="227"/>
      <c r="AI81" s="227"/>
      <c r="AJ81" s="227"/>
      <c r="AK81" s="227"/>
      <c r="AL81" s="227"/>
      <c r="AM81" s="227"/>
      <c r="AN81" s="227"/>
      <c r="AO81" s="227"/>
      <c r="AP81" s="227"/>
      <c r="AQ81" s="227"/>
      <c r="AR81" s="227"/>
      <c r="AS81" s="227"/>
      <c r="AT81" s="227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7"/>
      <c r="BF81" s="227"/>
      <c r="BG81" s="227"/>
      <c r="BH81" s="227"/>
      <c r="BI81" s="227"/>
      <c r="BJ81" s="227"/>
      <c r="BK81" s="227"/>
      <c r="BL81" s="227"/>
      <c r="BM81" s="227"/>
      <c r="BN81" s="227"/>
      <c r="BO81" s="227"/>
      <c r="BP81" s="227"/>
      <c r="BQ81" s="227"/>
      <c r="BR81" s="227"/>
      <c r="BS81" s="227"/>
      <c r="BT81" s="227"/>
      <c r="BU81" s="227"/>
      <c r="BV81" s="226"/>
      <c r="BW81" s="227"/>
      <c r="BX81" s="227"/>
      <c r="BY81" s="227"/>
      <c r="BZ81" s="227"/>
      <c r="CA81" s="227"/>
      <c r="CB81" s="226"/>
      <c r="CC81" s="226"/>
      <c r="CD81" s="226"/>
      <c r="CE81" s="226"/>
      <c r="CF81" s="226"/>
      <c r="CG81" s="226"/>
      <c r="CH81" s="226"/>
      <c r="CI81" s="226"/>
      <c r="CJ81" s="226"/>
      <c r="CK81" s="226"/>
      <c r="CL81" s="226"/>
      <c r="CM81" s="226"/>
      <c r="CN81" s="226"/>
      <c r="CO81" s="226"/>
      <c r="CP81" s="226"/>
      <c r="CQ81" s="226"/>
      <c r="CR81" s="226"/>
      <c r="CS81" s="226"/>
      <c r="CT81" s="226"/>
      <c r="CU81" s="226"/>
      <c r="CV81" s="226"/>
      <c r="CW81" s="226"/>
      <c r="CX81" s="226"/>
      <c r="CY81" s="226"/>
      <c r="CZ81" s="226"/>
      <c r="DA81" s="226"/>
      <c r="DB81" s="226"/>
      <c r="DC81" s="226"/>
      <c r="DD81" s="226"/>
      <c r="DE81" s="226"/>
      <c r="DF81" s="226"/>
      <c r="DG81" s="226"/>
      <c r="DH81" s="226"/>
      <c r="DI81" s="226"/>
      <c r="DJ81" s="226"/>
      <c r="DK81" s="226"/>
      <c r="DL81" s="226"/>
      <c r="DM81" s="226"/>
      <c r="DN81" s="226"/>
      <c r="DO81" s="226"/>
      <c r="DP81" s="226"/>
      <c r="DQ81" s="226"/>
    </row>
    <row r="82" spans="3:845 12603:12603" s="33" customFormat="1"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4"/>
      <c r="AB82" s="35"/>
      <c r="AC82" s="34"/>
      <c r="AD82" s="34"/>
      <c r="AE82" s="34"/>
      <c r="AF82" s="227"/>
      <c r="AG82" s="227"/>
      <c r="AH82" s="227"/>
      <c r="AI82" s="227"/>
      <c r="AJ82" s="227"/>
      <c r="AK82" s="227"/>
      <c r="AL82" s="227"/>
      <c r="AM82" s="227"/>
      <c r="AN82" s="227"/>
      <c r="AO82" s="227"/>
      <c r="AP82" s="227"/>
      <c r="AQ82" s="227"/>
      <c r="AR82" s="227"/>
      <c r="AS82" s="227"/>
      <c r="AT82" s="227"/>
      <c r="AU82" s="227"/>
      <c r="AV82" s="227"/>
      <c r="AW82" s="227"/>
      <c r="AX82" s="227"/>
      <c r="AY82" s="227"/>
      <c r="AZ82" s="227"/>
      <c r="BA82" s="227"/>
      <c r="BB82" s="227"/>
      <c r="BC82" s="227"/>
      <c r="BD82" s="227"/>
      <c r="BE82" s="227"/>
      <c r="BF82" s="227"/>
      <c r="BG82" s="227"/>
      <c r="BH82" s="227"/>
      <c r="BI82" s="227"/>
      <c r="BJ82" s="227"/>
      <c r="BK82" s="227"/>
      <c r="BL82" s="227"/>
      <c r="BM82" s="227"/>
      <c r="BN82" s="227"/>
      <c r="BO82" s="227"/>
      <c r="BP82" s="227"/>
      <c r="BQ82" s="227"/>
      <c r="BR82" s="227"/>
      <c r="BS82" s="227"/>
      <c r="BT82" s="227"/>
      <c r="BU82" s="227"/>
      <c r="BV82" s="226"/>
      <c r="BW82" s="227"/>
      <c r="BX82" s="227"/>
      <c r="BY82" s="227"/>
      <c r="BZ82" s="227"/>
      <c r="CA82" s="227"/>
      <c r="CB82" s="226"/>
      <c r="CC82" s="226"/>
      <c r="CD82" s="226"/>
      <c r="CE82" s="226"/>
      <c r="CF82" s="226"/>
      <c r="CG82" s="226"/>
      <c r="CH82" s="226"/>
      <c r="CI82" s="226"/>
      <c r="CJ82" s="226"/>
      <c r="CK82" s="226"/>
      <c r="CL82" s="226"/>
      <c r="CM82" s="226"/>
      <c r="CN82" s="226"/>
      <c r="CO82" s="226"/>
      <c r="CP82" s="226"/>
      <c r="CQ82" s="226"/>
      <c r="CR82" s="226"/>
      <c r="CS82" s="226"/>
      <c r="CT82" s="226"/>
      <c r="CU82" s="226"/>
      <c r="CV82" s="226"/>
      <c r="CW82" s="226"/>
      <c r="CX82" s="226"/>
      <c r="CY82" s="226"/>
      <c r="CZ82" s="226"/>
      <c r="DA82" s="226"/>
      <c r="DB82" s="226"/>
      <c r="DC82" s="226"/>
      <c r="DD82" s="226"/>
      <c r="DE82" s="226"/>
      <c r="DF82" s="226"/>
      <c r="DG82" s="226"/>
      <c r="DH82" s="226"/>
      <c r="DI82" s="226"/>
      <c r="DJ82" s="226"/>
      <c r="DK82" s="226"/>
      <c r="DL82" s="226"/>
      <c r="DM82" s="226"/>
      <c r="DN82" s="226"/>
      <c r="DO82" s="226"/>
      <c r="DP82" s="226"/>
      <c r="DQ82" s="226"/>
    </row>
    <row r="83" spans="3:845 12603:12603" s="33" customFormat="1"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4"/>
      <c r="AB83" s="35"/>
      <c r="AC83" s="34"/>
      <c r="AD83" s="34"/>
      <c r="AE83" s="34"/>
      <c r="AF83" s="227"/>
      <c r="AG83" s="227"/>
      <c r="AH83" s="227"/>
      <c r="AI83" s="227"/>
      <c r="AJ83" s="227"/>
      <c r="AK83" s="227"/>
      <c r="AL83" s="227"/>
      <c r="AM83" s="227"/>
      <c r="AN83" s="227"/>
      <c r="AO83" s="227"/>
      <c r="AP83" s="227"/>
      <c r="AQ83" s="227"/>
      <c r="AR83" s="227"/>
      <c r="AS83" s="227"/>
      <c r="AT83" s="227"/>
      <c r="AU83" s="227"/>
      <c r="AV83" s="227"/>
      <c r="AW83" s="227"/>
      <c r="AX83" s="227"/>
      <c r="AY83" s="227"/>
      <c r="AZ83" s="227"/>
      <c r="BA83" s="227"/>
      <c r="BB83" s="227"/>
      <c r="BC83" s="227"/>
      <c r="BD83" s="227"/>
      <c r="BE83" s="227"/>
      <c r="BF83" s="227"/>
      <c r="BG83" s="227"/>
      <c r="BH83" s="227"/>
      <c r="BI83" s="227"/>
      <c r="BJ83" s="227"/>
      <c r="BK83" s="227"/>
      <c r="BL83" s="227"/>
      <c r="BM83" s="227"/>
      <c r="BN83" s="227"/>
      <c r="BO83" s="227"/>
      <c r="BP83" s="227"/>
      <c r="BQ83" s="227"/>
      <c r="BR83" s="227"/>
      <c r="BS83" s="227"/>
      <c r="BT83" s="227"/>
      <c r="BU83" s="227"/>
      <c r="BV83" s="226"/>
      <c r="BW83" s="227"/>
      <c r="BX83" s="227"/>
      <c r="BY83" s="227"/>
      <c r="BZ83" s="227"/>
      <c r="CA83" s="227"/>
      <c r="CB83" s="226"/>
      <c r="CC83" s="226"/>
      <c r="CD83" s="226"/>
      <c r="CE83" s="226"/>
      <c r="CF83" s="226"/>
      <c r="CG83" s="226"/>
      <c r="CH83" s="226"/>
      <c r="CI83" s="226"/>
      <c r="CJ83" s="226"/>
      <c r="CK83" s="226"/>
      <c r="CL83" s="226"/>
      <c r="CM83" s="226"/>
      <c r="CN83" s="226"/>
      <c r="CO83" s="226"/>
      <c r="CP83" s="226"/>
      <c r="CQ83" s="226"/>
      <c r="CR83" s="226"/>
      <c r="CS83" s="226"/>
      <c r="CT83" s="226"/>
      <c r="CU83" s="226"/>
      <c r="CV83" s="226"/>
      <c r="CW83" s="226"/>
      <c r="CX83" s="226"/>
      <c r="CY83" s="226"/>
      <c r="CZ83" s="226"/>
      <c r="DA83" s="226"/>
      <c r="DB83" s="226"/>
      <c r="DC83" s="226"/>
      <c r="DD83" s="226"/>
      <c r="DE83" s="226"/>
      <c r="DF83" s="226"/>
      <c r="DG83" s="226"/>
      <c r="DH83" s="226"/>
      <c r="DI83" s="226"/>
      <c r="DJ83" s="226"/>
      <c r="DK83" s="226"/>
      <c r="DL83" s="226"/>
      <c r="DM83" s="226"/>
      <c r="DN83" s="226"/>
      <c r="DO83" s="226"/>
      <c r="DP83" s="226"/>
      <c r="DQ83" s="226"/>
    </row>
    <row r="84" spans="3:845 12603:12603" s="33" customFormat="1"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4"/>
      <c r="AB84" s="35"/>
      <c r="AC84" s="34"/>
      <c r="AD84" s="34"/>
      <c r="AE84" s="34"/>
      <c r="AF84" s="227"/>
      <c r="AG84" s="227"/>
      <c r="AH84" s="227"/>
      <c r="AI84" s="227"/>
      <c r="AJ84" s="227"/>
      <c r="AK84" s="227"/>
      <c r="AL84" s="227"/>
      <c r="AM84" s="227"/>
      <c r="AN84" s="227"/>
      <c r="AO84" s="227"/>
      <c r="AP84" s="227"/>
      <c r="AQ84" s="227"/>
      <c r="AR84" s="227"/>
      <c r="AS84" s="227"/>
      <c r="AT84" s="227"/>
      <c r="AU84" s="227"/>
      <c r="AV84" s="227"/>
      <c r="AW84" s="227"/>
      <c r="AX84" s="227"/>
      <c r="AY84" s="227"/>
      <c r="AZ84" s="227"/>
      <c r="BA84" s="227"/>
      <c r="BB84" s="227"/>
      <c r="BC84" s="227"/>
      <c r="BD84" s="227"/>
      <c r="BE84" s="227"/>
      <c r="BF84" s="227"/>
      <c r="BG84" s="227"/>
      <c r="BH84" s="227"/>
      <c r="BI84" s="227"/>
      <c r="BJ84" s="227"/>
      <c r="BK84" s="227"/>
      <c r="BL84" s="227"/>
      <c r="BM84" s="227"/>
      <c r="BN84" s="227"/>
      <c r="BO84" s="227"/>
      <c r="BP84" s="227"/>
      <c r="BQ84" s="227"/>
      <c r="BR84" s="227"/>
      <c r="BS84" s="227"/>
      <c r="BT84" s="227"/>
      <c r="BU84" s="227"/>
      <c r="BV84" s="226"/>
      <c r="BW84" s="227"/>
      <c r="BX84" s="227"/>
      <c r="BY84" s="227"/>
      <c r="BZ84" s="227"/>
      <c r="CA84" s="227"/>
      <c r="CB84" s="226"/>
      <c r="CC84" s="226"/>
      <c r="CD84" s="226"/>
      <c r="CE84" s="226"/>
      <c r="CF84" s="226"/>
      <c r="CG84" s="226"/>
      <c r="CH84" s="226"/>
      <c r="CI84" s="226"/>
      <c r="CJ84" s="226"/>
      <c r="CK84" s="226"/>
      <c r="CL84" s="226"/>
      <c r="CM84" s="226"/>
      <c r="CN84" s="226"/>
      <c r="CO84" s="226"/>
      <c r="CP84" s="226"/>
      <c r="CQ84" s="226"/>
      <c r="CR84" s="226"/>
      <c r="CS84" s="226"/>
      <c r="CT84" s="226"/>
      <c r="CU84" s="226"/>
      <c r="CV84" s="226"/>
      <c r="CW84" s="226"/>
      <c r="CX84" s="226"/>
      <c r="CY84" s="226"/>
      <c r="CZ84" s="226"/>
      <c r="DA84" s="226"/>
      <c r="DB84" s="226"/>
      <c r="DC84" s="226"/>
      <c r="DD84" s="226"/>
      <c r="DE84" s="226"/>
      <c r="DF84" s="226"/>
      <c r="DG84" s="226"/>
      <c r="DH84" s="226"/>
      <c r="DI84" s="226"/>
      <c r="DJ84" s="226"/>
      <c r="DK84" s="226"/>
      <c r="DL84" s="226"/>
      <c r="DM84" s="226"/>
      <c r="DN84" s="226"/>
      <c r="DO84" s="226"/>
      <c r="DP84" s="226"/>
      <c r="DQ84" s="226"/>
    </row>
    <row r="85" spans="3:845 12603:12603" s="33" customFormat="1"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4"/>
      <c r="AB85" s="35"/>
      <c r="AC85" s="34"/>
      <c r="AD85" s="34"/>
      <c r="AE85" s="34"/>
      <c r="AF85" s="227"/>
      <c r="AG85" s="227"/>
      <c r="AH85" s="227"/>
      <c r="AI85" s="227"/>
      <c r="AJ85" s="227"/>
      <c r="AK85" s="227"/>
      <c r="AL85" s="227"/>
      <c r="AM85" s="227"/>
      <c r="AN85" s="227"/>
      <c r="AO85" s="227"/>
      <c r="AP85" s="227"/>
      <c r="AQ85" s="227"/>
      <c r="AR85" s="227"/>
      <c r="AS85" s="227"/>
      <c r="AT85" s="227"/>
      <c r="AU85" s="227"/>
      <c r="AV85" s="227"/>
      <c r="AW85" s="227"/>
      <c r="AX85" s="227"/>
      <c r="AY85" s="227"/>
      <c r="AZ85" s="227"/>
      <c r="BA85" s="227"/>
      <c r="BB85" s="227"/>
      <c r="BC85" s="227"/>
      <c r="BD85" s="227"/>
      <c r="BE85" s="227"/>
      <c r="BF85" s="227"/>
      <c r="BG85" s="227"/>
      <c r="BH85" s="227"/>
      <c r="BI85" s="227"/>
      <c r="BJ85" s="227"/>
      <c r="BK85" s="227"/>
      <c r="BL85" s="227"/>
      <c r="BM85" s="227"/>
      <c r="BN85" s="227"/>
      <c r="BO85" s="227"/>
      <c r="BP85" s="227"/>
      <c r="BQ85" s="227"/>
      <c r="BR85" s="227"/>
      <c r="BS85" s="227"/>
      <c r="BT85" s="227"/>
      <c r="BU85" s="227"/>
      <c r="BV85" s="226"/>
      <c r="BW85" s="227"/>
      <c r="BX85" s="227"/>
      <c r="BY85" s="227"/>
      <c r="BZ85" s="227"/>
      <c r="CA85" s="227"/>
      <c r="CB85" s="226"/>
      <c r="CC85" s="226"/>
      <c r="CD85" s="226"/>
      <c r="CE85" s="226"/>
      <c r="CF85" s="226"/>
      <c r="CG85" s="226"/>
      <c r="CH85" s="226"/>
      <c r="CI85" s="226"/>
      <c r="CJ85" s="226"/>
      <c r="CK85" s="226"/>
      <c r="CL85" s="226"/>
      <c r="CM85" s="226"/>
      <c r="CN85" s="226"/>
      <c r="CO85" s="226"/>
      <c r="CP85" s="226"/>
      <c r="CQ85" s="226"/>
      <c r="CR85" s="226"/>
      <c r="CS85" s="226"/>
      <c r="CT85" s="226"/>
      <c r="CU85" s="226"/>
      <c r="CV85" s="226"/>
      <c r="CW85" s="226"/>
      <c r="CX85" s="226"/>
      <c r="CY85" s="226"/>
      <c r="CZ85" s="226"/>
      <c r="DA85" s="226"/>
      <c r="DB85" s="226"/>
      <c r="DC85" s="226"/>
      <c r="DD85" s="226"/>
      <c r="DE85" s="226"/>
      <c r="DF85" s="226"/>
      <c r="DG85" s="226"/>
      <c r="DH85" s="226"/>
      <c r="DI85" s="226"/>
      <c r="DJ85" s="226"/>
      <c r="DK85" s="226"/>
      <c r="DL85" s="226"/>
      <c r="DM85" s="226"/>
      <c r="DN85" s="226"/>
      <c r="DO85" s="226"/>
      <c r="DP85" s="226"/>
      <c r="DQ85" s="226"/>
    </row>
    <row r="86" spans="3:845 12603:12603" s="33" customFormat="1"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4"/>
      <c r="AB86" s="35"/>
      <c r="AC86" s="34"/>
      <c r="AD86" s="34"/>
      <c r="AE86" s="34"/>
      <c r="AF86" s="227"/>
      <c r="AG86" s="227"/>
      <c r="AH86" s="227"/>
      <c r="AI86" s="227"/>
      <c r="AJ86" s="227"/>
      <c r="AK86" s="227"/>
      <c r="AL86" s="227"/>
      <c r="AM86" s="227"/>
      <c r="AN86" s="227"/>
      <c r="AO86" s="227"/>
      <c r="AP86" s="227"/>
      <c r="AQ86" s="227"/>
      <c r="AR86" s="227"/>
      <c r="AS86" s="227"/>
      <c r="AT86" s="227"/>
      <c r="AU86" s="227"/>
      <c r="AV86" s="227"/>
      <c r="AW86" s="227"/>
      <c r="AX86" s="227"/>
      <c r="AY86" s="227"/>
      <c r="AZ86" s="227"/>
      <c r="BA86" s="227"/>
      <c r="BB86" s="227"/>
      <c r="BC86" s="227"/>
      <c r="BD86" s="227"/>
      <c r="BE86" s="227"/>
      <c r="BF86" s="227"/>
      <c r="BG86" s="227"/>
      <c r="BH86" s="227"/>
      <c r="BI86" s="227"/>
      <c r="BJ86" s="227"/>
      <c r="BK86" s="227"/>
      <c r="BL86" s="227"/>
      <c r="BM86" s="227"/>
      <c r="BN86" s="227"/>
      <c r="BO86" s="227"/>
      <c r="BP86" s="227"/>
      <c r="BQ86" s="227"/>
      <c r="BR86" s="227"/>
      <c r="BS86" s="227"/>
      <c r="BT86" s="227"/>
      <c r="BU86" s="227"/>
      <c r="BV86" s="226"/>
      <c r="BW86" s="227"/>
      <c r="BX86" s="227"/>
      <c r="BY86" s="227"/>
      <c r="BZ86" s="227"/>
      <c r="CA86" s="227"/>
      <c r="CB86" s="226"/>
      <c r="CC86" s="226"/>
      <c r="CD86" s="226"/>
      <c r="CE86" s="226"/>
      <c r="CF86" s="226"/>
      <c r="CG86" s="226"/>
      <c r="CH86" s="226"/>
      <c r="CI86" s="226"/>
      <c r="CJ86" s="226"/>
      <c r="CK86" s="226"/>
      <c r="CL86" s="226"/>
      <c r="CM86" s="226"/>
      <c r="CN86" s="226"/>
      <c r="CO86" s="226"/>
      <c r="CP86" s="226"/>
      <c r="CQ86" s="226"/>
      <c r="CR86" s="226"/>
      <c r="CS86" s="226"/>
      <c r="CT86" s="226"/>
      <c r="CU86" s="226"/>
      <c r="CV86" s="226"/>
      <c r="CW86" s="226"/>
      <c r="CX86" s="226"/>
      <c r="CY86" s="226"/>
      <c r="CZ86" s="226"/>
      <c r="DA86" s="226"/>
      <c r="DB86" s="226"/>
      <c r="DC86" s="226"/>
      <c r="DD86" s="226"/>
      <c r="DE86" s="226"/>
      <c r="DF86" s="226"/>
      <c r="DG86" s="226"/>
      <c r="DH86" s="226"/>
      <c r="DI86" s="226"/>
      <c r="DJ86" s="226"/>
      <c r="DK86" s="226"/>
      <c r="DL86" s="226"/>
      <c r="DM86" s="226"/>
      <c r="DN86" s="226"/>
      <c r="DO86" s="226"/>
      <c r="DP86" s="226"/>
      <c r="DQ86" s="226"/>
    </row>
    <row r="87" spans="3:845 12603:12603" s="33" customFormat="1"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4"/>
      <c r="AB87" s="35"/>
      <c r="AC87" s="34"/>
      <c r="AD87" s="34"/>
      <c r="AE87" s="34"/>
      <c r="AF87" s="227"/>
      <c r="AG87" s="227"/>
      <c r="AH87" s="227"/>
      <c r="AI87" s="227"/>
      <c r="AJ87" s="227"/>
      <c r="AK87" s="227"/>
      <c r="AL87" s="227"/>
      <c r="AM87" s="227"/>
      <c r="AN87" s="227"/>
      <c r="AO87" s="227"/>
      <c r="AP87" s="227"/>
      <c r="AQ87" s="227"/>
      <c r="AR87" s="227"/>
      <c r="AS87" s="227"/>
      <c r="AT87" s="227"/>
      <c r="AU87" s="227"/>
      <c r="AV87" s="227"/>
      <c r="AW87" s="227"/>
      <c r="AX87" s="227"/>
      <c r="AY87" s="227"/>
      <c r="AZ87" s="227"/>
      <c r="BA87" s="227"/>
      <c r="BB87" s="227"/>
      <c r="BC87" s="227"/>
      <c r="BD87" s="227"/>
      <c r="BE87" s="227"/>
      <c r="BF87" s="227"/>
      <c r="BG87" s="227"/>
      <c r="BH87" s="227"/>
      <c r="BI87" s="227"/>
      <c r="BJ87" s="227"/>
      <c r="BK87" s="227"/>
      <c r="BL87" s="227"/>
      <c r="BM87" s="227"/>
      <c r="BN87" s="227"/>
      <c r="BO87" s="227"/>
      <c r="BP87" s="227"/>
      <c r="BQ87" s="227"/>
      <c r="BR87" s="227"/>
      <c r="BS87" s="227"/>
      <c r="BT87" s="227"/>
      <c r="BU87" s="227"/>
      <c r="BV87" s="227"/>
      <c r="BW87" s="227"/>
      <c r="BX87" s="227"/>
      <c r="BY87" s="227"/>
      <c r="BZ87" s="227"/>
      <c r="CA87" s="227"/>
      <c r="CB87" s="226"/>
      <c r="CC87" s="226"/>
      <c r="CD87" s="226"/>
      <c r="CE87" s="226"/>
      <c r="CF87" s="226"/>
      <c r="CG87" s="226"/>
      <c r="CH87" s="226"/>
      <c r="CI87" s="226"/>
      <c r="CJ87" s="226"/>
      <c r="CK87" s="226"/>
      <c r="CL87" s="226"/>
      <c r="CM87" s="226"/>
      <c r="CN87" s="226"/>
      <c r="CO87" s="226"/>
      <c r="CP87" s="226"/>
      <c r="CQ87" s="226"/>
      <c r="CR87" s="226"/>
      <c r="CS87" s="226"/>
      <c r="CT87" s="226"/>
      <c r="CU87" s="226"/>
      <c r="CV87" s="226"/>
      <c r="CW87" s="226"/>
      <c r="CX87" s="226"/>
      <c r="CY87" s="226"/>
      <c r="CZ87" s="226"/>
      <c r="DA87" s="226"/>
      <c r="DB87" s="226"/>
      <c r="DC87" s="226"/>
      <c r="DD87" s="226"/>
      <c r="DE87" s="226"/>
      <c r="DF87" s="226"/>
      <c r="DG87" s="226"/>
      <c r="DH87" s="226"/>
      <c r="DI87" s="226"/>
      <c r="DJ87" s="226"/>
      <c r="DK87" s="226"/>
      <c r="DL87" s="226"/>
      <c r="DM87" s="226"/>
      <c r="DN87" s="226"/>
      <c r="DO87" s="226"/>
      <c r="DP87" s="226"/>
      <c r="DQ87" s="226"/>
    </row>
    <row r="88" spans="3:845 12603:12603" s="33" customFormat="1"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4"/>
      <c r="AB88" s="35"/>
      <c r="AC88" s="34"/>
      <c r="AD88" s="34"/>
      <c r="AE88" s="34"/>
      <c r="AF88" s="227"/>
      <c r="AG88" s="227"/>
      <c r="AH88" s="227"/>
      <c r="AI88" s="227"/>
      <c r="AJ88" s="227"/>
      <c r="AK88" s="227"/>
      <c r="AL88" s="227"/>
      <c r="AM88" s="227"/>
      <c r="AN88" s="227"/>
      <c r="AO88" s="227"/>
      <c r="AP88" s="227"/>
      <c r="AQ88" s="227"/>
      <c r="AR88" s="227"/>
      <c r="AS88" s="227"/>
      <c r="AT88" s="227"/>
      <c r="AU88" s="227"/>
      <c r="AV88" s="227"/>
      <c r="AW88" s="227"/>
      <c r="AX88" s="227"/>
      <c r="AY88" s="227"/>
      <c r="AZ88" s="227"/>
      <c r="BA88" s="227"/>
      <c r="BB88" s="227"/>
      <c r="BC88" s="227"/>
      <c r="BD88" s="227"/>
      <c r="BE88" s="227"/>
      <c r="BF88" s="227"/>
      <c r="BG88" s="227"/>
      <c r="BH88" s="227"/>
      <c r="BI88" s="227"/>
      <c r="BJ88" s="227"/>
      <c r="BK88" s="227"/>
      <c r="BL88" s="227"/>
      <c r="BM88" s="227"/>
      <c r="BN88" s="227"/>
      <c r="BO88" s="227"/>
      <c r="BP88" s="227"/>
      <c r="BQ88" s="227"/>
      <c r="BR88" s="227"/>
      <c r="BS88" s="227"/>
      <c r="BT88" s="227"/>
      <c r="BU88" s="227"/>
      <c r="BV88" s="227"/>
      <c r="BW88" s="227"/>
      <c r="BX88" s="227"/>
      <c r="BY88" s="227"/>
      <c r="BZ88" s="227"/>
      <c r="CA88" s="227"/>
      <c r="CB88" s="226"/>
      <c r="CC88" s="226"/>
      <c r="CD88" s="226"/>
      <c r="CE88" s="226"/>
      <c r="CF88" s="226"/>
      <c r="CG88" s="226"/>
      <c r="CH88" s="226"/>
      <c r="CI88" s="226"/>
      <c r="CJ88" s="226"/>
      <c r="CK88" s="226"/>
      <c r="CL88" s="226"/>
      <c r="CM88" s="226"/>
      <c r="CN88" s="226"/>
      <c r="CO88" s="226"/>
      <c r="CP88" s="226"/>
      <c r="CQ88" s="226"/>
      <c r="CR88" s="226"/>
      <c r="CS88" s="226"/>
      <c r="CT88" s="226"/>
      <c r="CU88" s="226"/>
      <c r="CV88" s="226"/>
      <c r="CW88" s="226"/>
      <c r="CX88" s="226"/>
      <c r="CY88" s="226"/>
      <c r="CZ88" s="226"/>
      <c r="DA88" s="226"/>
      <c r="DB88" s="226"/>
      <c r="DC88" s="226"/>
      <c r="DD88" s="226"/>
      <c r="DE88" s="226"/>
      <c r="DF88" s="226"/>
      <c r="DG88" s="226"/>
      <c r="DH88" s="226"/>
      <c r="DI88" s="226"/>
      <c r="DJ88" s="226"/>
      <c r="DK88" s="226"/>
      <c r="DL88" s="226"/>
      <c r="DM88" s="226"/>
      <c r="DN88" s="226"/>
      <c r="DO88" s="226"/>
      <c r="DP88" s="226"/>
      <c r="DQ88" s="226"/>
    </row>
    <row r="89" spans="3:845 12603:12603" s="33" customFormat="1"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4"/>
      <c r="AB89" s="35"/>
      <c r="AC89" s="34"/>
      <c r="AD89" s="34"/>
      <c r="AE89" s="34"/>
      <c r="AF89" s="227"/>
      <c r="AG89" s="227"/>
      <c r="AH89" s="227"/>
      <c r="AI89" s="227"/>
      <c r="AJ89" s="227"/>
      <c r="AK89" s="227"/>
      <c r="AL89" s="227"/>
      <c r="AM89" s="227"/>
      <c r="AN89" s="227"/>
      <c r="AO89" s="227"/>
      <c r="AP89" s="227"/>
      <c r="AQ89" s="227"/>
      <c r="AR89" s="227"/>
      <c r="AS89" s="227"/>
      <c r="AT89" s="227"/>
      <c r="AU89" s="227"/>
      <c r="AV89" s="227"/>
      <c r="AW89" s="227"/>
      <c r="AX89" s="227"/>
      <c r="AY89" s="227"/>
      <c r="AZ89" s="227"/>
      <c r="BA89" s="227"/>
      <c r="BB89" s="227"/>
      <c r="BC89" s="227"/>
      <c r="BD89" s="227"/>
      <c r="BE89" s="227"/>
      <c r="BF89" s="227"/>
      <c r="BG89" s="227"/>
      <c r="BH89" s="227"/>
      <c r="BI89" s="227"/>
      <c r="BJ89" s="227"/>
      <c r="BK89" s="227"/>
      <c r="BL89" s="227"/>
      <c r="BM89" s="227"/>
      <c r="BN89" s="227"/>
      <c r="BO89" s="227"/>
      <c r="BP89" s="227"/>
      <c r="BQ89" s="227"/>
      <c r="BR89" s="227"/>
      <c r="BS89" s="227"/>
      <c r="BT89" s="227"/>
      <c r="BU89" s="227"/>
      <c r="BV89" s="227"/>
      <c r="BW89" s="227"/>
      <c r="BX89" s="227"/>
      <c r="BY89" s="227"/>
      <c r="BZ89" s="227"/>
      <c r="CA89" s="227"/>
      <c r="CB89" s="226"/>
      <c r="CC89" s="226"/>
      <c r="CD89" s="226"/>
      <c r="CE89" s="226"/>
      <c r="CF89" s="226"/>
      <c r="CG89" s="226"/>
      <c r="CH89" s="226"/>
      <c r="CI89" s="226"/>
      <c r="CJ89" s="226"/>
      <c r="CK89" s="226"/>
      <c r="CL89" s="226"/>
      <c r="CM89" s="226"/>
      <c r="CN89" s="226"/>
      <c r="CO89" s="226"/>
      <c r="CP89" s="226"/>
      <c r="CQ89" s="226"/>
      <c r="CR89" s="226"/>
      <c r="CS89" s="226"/>
      <c r="CT89" s="226"/>
      <c r="CU89" s="226"/>
      <c r="CV89" s="226"/>
      <c r="CW89" s="226"/>
      <c r="CX89" s="226"/>
      <c r="CY89" s="226"/>
      <c r="CZ89" s="226"/>
      <c r="DA89" s="226"/>
      <c r="DB89" s="226"/>
      <c r="DC89" s="226"/>
      <c r="DD89" s="226"/>
      <c r="DE89" s="226"/>
      <c r="DF89" s="226"/>
      <c r="DG89" s="226"/>
      <c r="DH89" s="226"/>
      <c r="DI89" s="226"/>
      <c r="DJ89" s="226"/>
      <c r="DK89" s="226"/>
      <c r="DL89" s="226"/>
      <c r="DM89" s="226"/>
      <c r="DN89" s="226"/>
      <c r="DO89" s="226"/>
      <c r="DP89" s="226"/>
      <c r="DQ89" s="226"/>
    </row>
    <row r="90" spans="3:845 12603:12603" s="33" customFormat="1"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4"/>
      <c r="AB90" s="35"/>
      <c r="AC90" s="34"/>
      <c r="AD90" s="34"/>
      <c r="AE90" s="34"/>
      <c r="AF90" s="227"/>
      <c r="AG90" s="227"/>
      <c r="AH90" s="227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7"/>
      <c r="AT90" s="227"/>
      <c r="AU90" s="227"/>
      <c r="AV90" s="227"/>
      <c r="AW90" s="227"/>
      <c r="AX90" s="227"/>
      <c r="AY90" s="227"/>
      <c r="AZ90" s="227"/>
      <c r="BA90" s="227"/>
      <c r="BB90" s="227"/>
      <c r="BC90" s="227"/>
      <c r="BD90" s="227"/>
      <c r="BE90" s="227"/>
      <c r="BF90" s="227"/>
      <c r="BG90" s="227"/>
      <c r="BH90" s="227"/>
      <c r="BI90" s="227"/>
      <c r="BJ90" s="227"/>
      <c r="BK90" s="227"/>
      <c r="BL90" s="227"/>
      <c r="BM90" s="227"/>
      <c r="BN90" s="227"/>
      <c r="BO90" s="227"/>
      <c r="BP90" s="227"/>
      <c r="BQ90" s="227"/>
      <c r="BR90" s="227"/>
      <c r="BS90" s="227"/>
      <c r="BT90" s="227"/>
      <c r="BU90" s="227"/>
      <c r="BV90" s="227"/>
      <c r="BW90" s="227"/>
      <c r="BX90" s="227"/>
      <c r="BY90" s="227"/>
      <c r="BZ90" s="227"/>
      <c r="CA90" s="227"/>
      <c r="CB90" s="226"/>
      <c r="CC90" s="226"/>
      <c r="CD90" s="226"/>
      <c r="CE90" s="226"/>
      <c r="CF90" s="226"/>
      <c r="CG90" s="226"/>
      <c r="CH90" s="226"/>
      <c r="CI90" s="226"/>
      <c r="CJ90" s="226"/>
      <c r="CK90" s="226"/>
      <c r="CL90" s="226"/>
      <c r="CM90" s="226"/>
      <c r="CN90" s="226"/>
      <c r="CO90" s="226"/>
      <c r="CP90" s="226"/>
      <c r="CQ90" s="226"/>
      <c r="CR90" s="226"/>
      <c r="CS90" s="226"/>
      <c r="CT90" s="226"/>
      <c r="CU90" s="226"/>
      <c r="CV90" s="226"/>
      <c r="CW90" s="226"/>
      <c r="CX90" s="226"/>
      <c r="CY90" s="226"/>
      <c r="CZ90" s="226"/>
      <c r="DA90" s="226"/>
      <c r="DB90" s="226"/>
      <c r="DC90" s="226"/>
      <c r="DD90" s="226"/>
      <c r="DE90" s="226"/>
      <c r="DF90" s="226"/>
      <c r="DG90" s="226"/>
      <c r="DH90" s="226"/>
      <c r="DI90" s="226"/>
      <c r="DJ90" s="226"/>
      <c r="DK90" s="226"/>
      <c r="DL90" s="226"/>
      <c r="DM90" s="226"/>
      <c r="DN90" s="226"/>
      <c r="DO90" s="226"/>
      <c r="DP90" s="226"/>
      <c r="DQ90" s="226"/>
    </row>
    <row r="91" spans="3:845 12603:12603" s="33" customFormat="1"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4"/>
      <c r="AB91" s="35"/>
      <c r="AC91" s="34"/>
      <c r="AD91" s="34"/>
      <c r="AE91" s="34"/>
      <c r="AF91" s="227"/>
      <c r="AG91" s="227"/>
      <c r="AH91" s="227"/>
      <c r="AI91" s="227"/>
      <c r="AJ91" s="227"/>
      <c r="AK91" s="227"/>
      <c r="AL91" s="227"/>
      <c r="AM91" s="227"/>
      <c r="AN91" s="227"/>
      <c r="AO91" s="227"/>
      <c r="AP91" s="227"/>
      <c r="AQ91" s="227"/>
      <c r="AR91" s="227"/>
      <c r="AS91" s="227"/>
      <c r="AT91" s="227"/>
      <c r="AU91" s="227"/>
      <c r="AV91" s="227"/>
      <c r="AW91" s="227"/>
      <c r="AX91" s="227"/>
      <c r="AY91" s="227"/>
      <c r="AZ91" s="227"/>
      <c r="BA91" s="227"/>
      <c r="BB91" s="227"/>
      <c r="BC91" s="227"/>
      <c r="BD91" s="227"/>
      <c r="BE91" s="227"/>
      <c r="BF91" s="227"/>
      <c r="BG91" s="227"/>
      <c r="BH91" s="227"/>
      <c r="BI91" s="227"/>
      <c r="BJ91" s="227"/>
      <c r="BK91" s="227"/>
      <c r="BL91" s="227"/>
      <c r="BM91" s="227"/>
      <c r="BN91" s="227"/>
      <c r="BO91" s="227"/>
      <c r="BP91" s="227"/>
      <c r="BQ91" s="227"/>
      <c r="BR91" s="227"/>
      <c r="BS91" s="227"/>
      <c r="BT91" s="227"/>
      <c r="BU91" s="227"/>
      <c r="BV91" s="227"/>
      <c r="BW91" s="227"/>
      <c r="BX91" s="227"/>
      <c r="BY91" s="227"/>
      <c r="BZ91" s="227"/>
      <c r="CA91" s="227"/>
      <c r="CB91" s="226"/>
      <c r="CC91" s="226"/>
      <c r="CD91" s="226"/>
      <c r="CE91" s="226"/>
      <c r="CF91" s="226"/>
      <c r="CG91" s="226"/>
      <c r="CH91" s="226"/>
      <c r="CI91" s="226"/>
      <c r="CJ91" s="226"/>
      <c r="CK91" s="226"/>
      <c r="CL91" s="226"/>
      <c r="CM91" s="226"/>
      <c r="CN91" s="226"/>
      <c r="CO91" s="226"/>
      <c r="CP91" s="226"/>
      <c r="CQ91" s="226"/>
      <c r="CR91" s="226"/>
      <c r="CS91" s="226"/>
      <c r="CT91" s="226"/>
      <c r="CU91" s="226"/>
      <c r="CV91" s="226"/>
      <c r="CW91" s="226"/>
      <c r="CX91" s="226"/>
      <c r="CY91" s="226"/>
      <c r="CZ91" s="226"/>
      <c r="DA91" s="226"/>
      <c r="DB91" s="226"/>
      <c r="DC91" s="226"/>
      <c r="DD91" s="226"/>
      <c r="DE91" s="226"/>
      <c r="DF91" s="226"/>
      <c r="DG91" s="226"/>
      <c r="DH91" s="226"/>
      <c r="DI91" s="226"/>
      <c r="DJ91" s="226"/>
      <c r="DK91" s="226"/>
      <c r="DL91" s="226"/>
      <c r="DM91" s="226"/>
      <c r="DN91" s="226"/>
      <c r="DO91" s="226"/>
      <c r="DP91" s="226"/>
      <c r="DQ91" s="226"/>
    </row>
    <row r="92" spans="3:845 12603:12603" s="33" customFormat="1"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4"/>
      <c r="AB92" s="35"/>
      <c r="AC92" s="34"/>
      <c r="AD92" s="34"/>
      <c r="AE92" s="34"/>
      <c r="AF92" s="227"/>
      <c r="AG92" s="227"/>
      <c r="AH92" s="227"/>
      <c r="AI92" s="227"/>
      <c r="AJ92" s="227"/>
      <c r="AK92" s="227"/>
      <c r="AL92" s="227"/>
      <c r="AM92" s="227"/>
      <c r="AN92" s="227"/>
      <c r="AO92" s="227"/>
      <c r="AP92" s="227"/>
      <c r="AQ92" s="227"/>
      <c r="AR92" s="227"/>
      <c r="AS92" s="227"/>
      <c r="AT92" s="227"/>
      <c r="AU92" s="227"/>
      <c r="AV92" s="227"/>
      <c r="AW92" s="227"/>
      <c r="AX92" s="227"/>
      <c r="AY92" s="227"/>
      <c r="AZ92" s="227"/>
      <c r="BA92" s="227"/>
      <c r="BB92" s="227"/>
      <c r="BC92" s="227"/>
      <c r="BD92" s="227"/>
      <c r="BE92" s="227"/>
      <c r="BF92" s="227"/>
      <c r="BG92" s="227"/>
      <c r="BH92" s="227"/>
      <c r="BI92" s="227"/>
      <c r="BJ92" s="227"/>
      <c r="BK92" s="227"/>
      <c r="BL92" s="227"/>
      <c r="BM92" s="227"/>
      <c r="BN92" s="227"/>
      <c r="BO92" s="227"/>
      <c r="BP92" s="227"/>
      <c r="BQ92" s="227"/>
      <c r="BR92" s="227"/>
      <c r="BS92" s="227"/>
      <c r="BT92" s="227"/>
      <c r="BU92" s="227"/>
      <c r="BV92" s="227"/>
      <c r="BW92" s="227"/>
      <c r="BX92" s="227"/>
      <c r="BY92" s="227"/>
      <c r="BZ92" s="227"/>
      <c r="CA92" s="227"/>
      <c r="CB92" s="226"/>
      <c r="CC92" s="226"/>
      <c r="CD92" s="226"/>
      <c r="CE92" s="226"/>
      <c r="CF92" s="226"/>
      <c r="CG92" s="226"/>
      <c r="CH92" s="226"/>
      <c r="CI92" s="226"/>
      <c r="CJ92" s="226"/>
      <c r="CK92" s="226"/>
      <c r="CL92" s="226"/>
      <c r="CM92" s="226"/>
      <c r="CN92" s="226"/>
      <c r="CO92" s="226"/>
      <c r="CP92" s="226"/>
      <c r="CQ92" s="226"/>
      <c r="CR92" s="226"/>
      <c r="CS92" s="226"/>
      <c r="CT92" s="226"/>
      <c r="CU92" s="226"/>
      <c r="CV92" s="226"/>
      <c r="CW92" s="226"/>
      <c r="CX92" s="226"/>
      <c r="CY92" s="226"/>
      <c r="CZ92" s="226"/>
      <c r="DA92" s="226"/>
      <c r="DB92" s="226"/>
      <c r="DC92" s="226"/>
      <c r="DD92" s="226"/>
      <c r="DE92" s="226"/>
      <c r="DF92" s="226"/>
      <c r="DG92" s="226"/>
      <c r="DH92" s="226"/>
      <c r="DI92" s="226"/>
      <c r="DJ92" s="226"/>
      <c r="DK92" s="226"/>
      <c r="DL92" s="226"/>
      <c r="DM92" s="226"/>
      <c r="DN92" s="226"/>
      <c r="DO92" s="226"/>
      <c r="DP92" s="226"/>
      <c r="DQ92" s="226"/>
    </row>
    <row r="93" spans="3:845 12603:12603" s="33" customFormat="1"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4"/>
      <c r="AB93" s="35"/>
      <c r="AC93" s="34"/>
      <c r="AD93" s="34"/>
      <c r="AE93" s="34"/>
      <c r="AF93" s="227"/>
      <c r="AG93" s="227"/>
      <c r="AH93" s="227"/>
      <c r="AI93" s="227"/>
      <c r="AJ93" s="227"/>
      <c r="AK93" s="227"/>
      <c r="AL93" s="227"/>
      <c r="AM93" s="227"/>
      <c r="AN93" s="227"/>
      <c r="AO93" s="227"/>
      <c r="AP93" s="227"/>
      <c r="AQ93" s="227"/>
      <c r="AR93" s="227"/>
      <c r="AS93" s="227"/>
      <c r="AT93" s="227"/>
      <c r="AU93" s="227"/>
      <c r="AV93" s="227"/>
      <c r="AW93" s="227"/>
      <c r="AX93" s="227"/>
      <c r="AY93" s="227"/>
      <c r="AZ93" s="227"/>
      <c r="BA93" s="227"/>
      <c r="BB93" s="227"/>
      <c r="BC93" s="227"/>
      <c r="BD93" s="227"/>
      <c r="BE93" s="227"/>
      <c r="BF93" s="227"/>
      <c r="BG93" s="227"/>
      <c r="BH93" s="227"/>
      <c r="BI93" s="227"/>
      <c r="BJ93" s="227"/>
      <c r="BK93" s="227"/>
      <c r="BL93" s="227"/>
      <c r="BM93" s="227"/>
      <c r="BN93" s="227"/>
      <c r="BO93" s="227"/>
      <c r="BP93" s="227"/>
      <c r="BQ93" s="227"/>
      <c r="BR93" s="227"/>
      <c r="BS93" s="227"/>
      <c r="BT93" s="227"/>
      <c r="BU93" s="227"/>
      <c r="BV93" s="227"/>
      <c r="BW93" s="227"/>
      <c r="BX93" s="227"/>
      <c r="BY93" s="227"/>
      <c r="BZ93" s="227"/>
      <c r="CA93" s="227"/>
      <c r="CB93" s="226"/>
      <c r="CC93" s="226"/>
      <c r="CD93" s="226"/>
      <c r="CE93" s="226"/>
      <c r="CF93" s="226"/>
      <c r="CG93" s="226"/>
      <c r="CH93" s="226"/>
      <c r="CI93" s="226"/>
      <c r="CJ93" s="226"/>
      <c r="CK93" s="226"/>
      <c r="CL93" s="226"/>
      <c r="CM93" s="226"/>
      <c r="CN93" s="226"/>
      <c r="CO93" s="226"/>
      <c r="CP93" s="226"/>
      <c r="CQ93" s="226"/>
      <c r="CR93" s="226"/>
      <c r="CS93" s="226"/>
      <c r="CT93" s="226"/>
      <c r="CU93" s="226"/>
      <c r="CV93" s="226"/>
      <c r="CW93" s="226"/>
      <c r="CX93" s="226"/>
      <c r="CY93" s="226"/>
      <c r="CZ93" s="226"/>
      <c r="DA93" s="226"/>
      <c r="DB93" s="226"/>
      <c r="DC93" s="226"/>
      <c r="DD93" s="226"/>
      <c r="DE93" s="226"/>
      <c r="DF93" s="226"/>
      <c r="DG93" s="226"/>
      <c r="DH93" s="226"/>
      <c r="DI93" s="226"/>
      <c r="DJ93" s="226"/>
      <c r="DK93" s="226"/>
      <c r="DL93" s="226"/>
      <c r="DM93" s="226"/>
      <c r="DN93" s="226"/>
      <c r="DO93" s="226"/>
      <c r="DP93" s="226"/>
      <c r="DQ93" s="226"/>
      <c r="RPS93" s="250" t="s">
        <v>175</v>
      </c>
    </row>
    <row r="94" spans="3:845 12603:12603" s="33" customFormat="1"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4"/>
      <c r="AB94" s="35"/>
      <c r="AC94" s="34"/>
      <c r="AD94" s="34"/>
      <c r="AE94" s="34"/>
      <c r="AF94" s="227"/>
      <c r="AG94" s="227"/>
      <c r="AH94" s="227"/>
      <c r="AI94" s="227"/>
      <c r="AJ94" s="227"/>
      <c r="AK94" s="227"/>
      <c r="AL94" s="227"/>
      <c r="AM94" s="227"/>
      <c r="AN94" s="227"/>
      <c r="AO94" s="227"/>
      <c r="AP94" s="227"/>
      <c r="AQ94" s="227"/>
      <c r="AR94" s="227"/>
      <c r="AS94" s="227"/>
      <c r="AT94" s="227"/>
      <c r="AU94" s="227"/>
      <c r="AV94" s="227"/>
      <c r="AW94" s="227"/>
      <c r="AX94" s="227"/>
      <c r="AY94" s="227"/>
      <c r="AZ94" s="227"/>
      <c r="BA94" s="227"/>
      <c r="BB94" s="227"/>
      <c r="BC94" s="227"/>
      <c r="BD94" s="227"/>
      <c r="BE94" s="227"/>
      <c r="BF94" s="227"/>
      <c r="BG94" s="227"/>
      <c r="BH94" s="227"/>
      <c r="BI94" s="227"/>
      <c r="BJ94" s="227"/>
      <c r="BK94" s="227"/>
      <c r="BL94" s="227"/>
      <c r="BM94" s="227"/>
      <c r="BN94" s="227"/>
      <c r="BO94" s="227"/>
      <c r="BP94" s="227"/>
      <c r="BQ94" s="227"/>
      <c r="BR94" s="227"/>
      <c r="BS94" s="227"/>
      <c r="BT94" s="227"/>
      <c r="BU94" s="227"/>
      <c r="BV94" s="227"/>
      <c r="BW94" s="227"/>
      <c r="BX94" s="227"/>
      <c r="BY94" s="227"/>
      <c r="BZ94" s="227"/>
      <c r="CA94" s="227"/>
      <c r="CB94" s="226"/>
      <c r="CC94" s="226"/>
      <c r="CD94" s="226"/>
      <c r="CE94" s="226"/>
      <c r="CF94" s="226"/>
      <c r="CG94" s="226"/>
      <c r="CH94" s="226"/>
      <c r="CI94" s="226"/>
      <c r="CJ94" s="226"/>
      <c r="CK94" s="226"/>
      <c r="CL94" s="226"/>
      <c r="CM94" s="226"/>
      <c r="CN94" s="226"/>
      <c r="CO94" s="226"/>
      <c r="CP94" s="226"/>
      <c r="CQ94" s="226"/>
      <c r="CR94" s="226"/>
      <c r="CS94" s="226"/>
      <c r="CT94" s="226"/>
      <c r="CU94" s="226"/>
      <c r="CV94" s="226"/>
      <c r="CW94" s="226"/>
      <c r="CX94" s="226"/>
      <c r="CY94" s="226"/>
      <c r="CZ94" s="226"/>
      <c r="DA94" s="226"/>
      <c r="DB94" s="226"/>
      <c r="DC94" s="226"/>
      <c r="DD94" s="226"/>
      <c r="DE94" s="226"/>
      <c r="DF94" s="226"/>
      <c r="DG94" s="226"/>
      <c r="DH94" s="226"/>
      <c r="DI94" s="226"/>
      <c r="DJ94" s="226"/>
      <c r="DK94" s="226"/>
      <c r="DL94" s="226"/>
      <c r="DM94" s="226"/>
      <c r="DN94" s="226"/>
      <c r="DO94" s="226"/>
      <c r="DP94" s="226"/>
      <c r="DQ94" s="226"/>
    </row>
    <row r="95" spans="3:845 12603:12603" s="33" customFormat="1"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4"/>
      <c r="AB95" s="35"/>
      <c r="AC95" s="34"/>
      <c r="AD95" s="34"/>
      <c r="AE95" s="34"/>
      <c r="AF95" s="227"/>
      <c r="AG95" s="227"/>
      <c r="AH95" s="227"/>
      <c r="AI95" s="227"/>
      <c r="AJ95" s="227"/>
      <c r="AK95" s="227"/>
      <c r="AL95" s="227"/>
      <c r="AM95" s="227"/>
      <c r="AN95" s="227"/>
      <c r="AO95" s="227"/>
      <c r="AP95" s="227"/>
      <c r="AQ95" s="227"/>
      <c r="AR95" s="227"/>
      <c r="AS95" s="227"/>
      <c r="AT95" s="227"/>
      <c r="AU95" s="227"/>
      <c r="AV95" s="227"/>
      <c r="AW95" s="227"/>
      <c r="AX95" s="227"/>
      <c r="AY95" s="227"/>
      <c r="AZ95" s="227"/>
      <c r="BA95" s="227"/>
      <c r="BB95" s="227"/>
      <c r="BC95" s="227"/>
      <c r="BD95" s="227"/>
      <c r="BE95" s="227"/>
      <c r="BF95" s="227"/>
      <c r="BG95" s="227"/>
      <c r="BH95" s="227"/>
      <c r="BI95" s="227"/>
      <c r="BJ95" s="227"/>
      <c r="BK95" s="227"/>
      <c r="BL95" s="227"/>
      <c r="BM95" s="227"/>
      <c r="BN95" s="227"/>
      <c r="BO95" s="227"/>
      <c r="BP95" s="227"/>
      <c r="BQ95" s="227"/>
      <c r="BR95" s="227"/>
      <c r="BS95" s="227"/>
      <c r="BT95" s="227"/>
      <c r="BU95" s="227"/>
      <c r="BV95" s="227"/>
      <c r="BW95" s="227"/>
      <c r="BX95" s="227"/>
      <c r="BY95" s="227"/>
      <c r="BZ95" s="227"/>
      <c r="CA95" s="227"/>
      <c r="CB95" s="226"/>
      <c r="CC95" s="226"/>
      <c r="CD95" s="226"/>
      <c r="CE95" s="226"/>
      <c r="CF95" s="226"/>
      <c r="CG95" s="226"/>
      <c r="CH95" s="226"/>
      <c r="CI95" s="226"/>
      <c r="CJ95" s="226"/>
      <c r="CK95" s="226"/>
      <c r="CL95" s="226"/>
      <c r="CM95" s="226"/>
      <c r="CN95" s="226"/>
      <c r="CO95" s="226"/>
      <c r="CP95" s="226"/>
      <c r="CQ95" s="226"/>
      <c r="CR95" s="226"/>
      <c r="CS95" s="226"/>
      <c r="CT95" s="226"/>
      <c r="CU95" s="226"/>
      <c r="CV95" s="226"/>
      <c r="CW95" s="226"/>
      <c r="CX95" s="226"/>
      <c r="CY95" s="226"/>
      <c r="CZ95" s="226"/>
      <c r="DA95" s="226"/>
      <c r="DB95" s="226"/>
      <c r="DC95" s="226"/>
      <c r="DD95" s="226"/>
      <c r="DE95" s="226"/>
      <c r="DF95" s="226"/>
      <c r="DG95" s="226"/>
      <c r="DH95" s="226"/>
      <c r="DI95" s="226"/>
      <c r="DJ95" s="226"/>
      <c r="DK95" s="226"/>
      <c r="DL95" s="226"/>
      <c r="DM95" s="226"/>
      <c r="DN95" s="226"/>
      <c r="DO95" s="226"/>
      <c r="DP95" s="226"/>
      <c r="DQ95" s="226"/>
      <c r="AFM95" s="250" t="s">
        <v>20</v>
      </c>
    </row>
    <row r="96" spans="3:845 12603:12603" s="33" customFormat="1"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4"/>
      <c r="AB96" s="35"/>
      <c r="AC96" s="34"/>
      <c r="AD96" s="34"/>
      <c r="AE96" s="34"/>
      <c r="AF96" s="227"/>
      <c r="AG96" s="227"/>
      <c r="AH96" s="227"/>
      <c r="AI96" s="227"/>
      <c r="AJ96" s="227"/>
      <c r="AK96" s="227"/>
      <c r="AL96" s="227"/>
      <c r="AM96" s="227"/>
      <c r="AN96" s="227"/>
      <c r="AO96" s="227"/>
      <c r="AP96" s="227"/>
      <c r="AQ96" s="227"/>
      <c r="AR96" s="227"/>
      <c r="AS96" s="227"/>
      <c r="AT96" s="227"/>
      <c r="AU96" s="227"/>
      <c r="AV96" s="227"/>
      <c r="AW96" s="227"/>
      <c r="AX96" s="227"/>
      <c r="AY96" s="227"/>
      <c r="AZ96" s="227"/>
      <c r="BA96" s="227"/>
      <c r="BB96" s="227"/>
      <c r="BC96" s="227"/>
      <c r="BD96" s="227"/>
      <c r="BE96" s="227"/>
      <c r="BF96" s="227"/>
      <c r="BG96" s="227"/>
      <c r="BH96" s="227"/>
      <c r="BI96" s="227"/>
      <c r="BJ96" s="227"/>
      <c r="BK96" s="227"/>
      <c r="BL96" s="227"/>
      <c r="BM96" s="227"/>
      <c r="BN96" s="227"/>
      <c r="BO96" s="227"/>
      <c r="BP96" s="227"/>
      <c r="BQ96" s="227"/>
      <c r="BR96" s="227"/>
      <c r="BS96" s="227"/>
      <c r="BT96" s="227"/>
      <c r="BU96" s="227"/>
      <c r="BV96" s="227"/>
      <c r="BW96" s="227"/>
      <c r="BX96" s="227"/>
      <c r="BY96" s="227"/>
      <c r="BZ96" s="227"/>
      <c r="CA96" s="227"/>
      <c r="CB96" s="226"/>
      <c r="CC96" s="226"/>
      <c r="CD96" s="226"/>
      <c r="CE96" s="226"/>
      <c r="CF96" s="226"/>
      <c r="CG96" s="226"/>
      <c r="CH96" s="226"/>
      <c r="CI96" s="226"/>
      <c r="CJ96" s="226"/>
      <c r="CK96" s="226"/>
      <c r="CL96" s="226"/>
      <c r="CM96" s="226"/>
      <c r="CN96" s="226"/>
      <c r="CO96" s="226"/>
      <c r="CP96" s="226"/>
      <c r="CQ96" s="226"/>
      <c r="CR96" s="226"/>
      <c r="CS96" s="226"/>
      <c r="CT96" s="226"/>
      <c r="CU96" s="226"/>
      <c r="CV96" s="226"/>
      <c r="CW96" s="226"/>
      <c r="CX96" s="226"/>
      <c r="CY96" s="226"/>
      <c r="CZ96" s="226"/>
      <c r="DA96" s="226"/>
      <c r="DB96" s="226"/>
      <c r="DC96" s="226"/>
      <c r="DD96" s="226"/>
      <c r="DE96" s="226"/>
      <c r="DF96" s="226"/>
      <c r="DG96" s="226"/>
      <c r="DH96" s="226"/>
      <c r="DI96" s="226"/>
      <c r="DJ96" s="226"/>
      <c r="DK96" s="226"/>
      <c r="DL96" s="226"/>
      <c r="DM96" s="226"/>
      <c r="DN96" s="226"/>
      <c r="DO96" s="226"/>
      <c r="DP96" s="226"/>
      <c r="DQ96" s="226"/>
    </row>
    <row r="97" spans="3:121" s="33" customFormat="1"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4"/>
      <c r="AB97" s="35"/>
      <c r="AC97" s="34"/>
      <c r="AD97" s="34"/>
      <c r="AE97" s="34"/>
      <c r="AF97" s="227"/>
      <c r="AG97" s="227"/>
      <c r="AH97" s="227"/>
      <c r="AI97" s="227"/>
      <c r="AJ97" s="227"/>
      <c r="AK97" s="227"/>
      <c r="AL97" s="227"/>
      <c r="AM97" s="227"/>
      <c r="AN97" s="227"/>
      <c r="AO97" s="227"/>
      <c r="AP97" s="227"/>
      <c r="AQ97" s="227"/>
      <c r="AR97" s="227"/>
      <c r="AS97" s="227"/>
      <c r="AT97" s="227"/>
      <c r="AU97" s="227"/>
      <c r="AV97" s="227"/>
      <c r="AW97" s="227"/>
      <c r="AX97" s="227"/>
      <c r="AY97" s="227"/>
      <c r="AZ97" s="227"/>
      <c r="BA97" s="227"/>
      <c r="BB97" s="227"/>
      <c r="BC97" s="227"/>
      <c r="BD97" s="227"/>
      <c r="BE97" s="227"/>
      <c r="BF97" s="227"/>
      <c r="BG97" s="227"/>
      <c r="BH97" s="227"/>
      <c r="BI97" s="227"/>
      <c r="BJ97" s="227"/>
      <c r="BK97" s="227"/>
      <c r="BL97" s="227"/>
      <c r="BM97" s="227"/>
      <c r="BN97" s="227"/>
      <c r="BO97" s="227"/>
      <c r="BP97" s="227"/>
      <c r="BQ97" s="227"/>
      <c r="BR97" s="227"/>
      <c r="BS97" s="227"/>
      <c r="BT97" s="227"/>
      <c r="BU97" s="227"/>
      <c r="BV97" s="227"/>
      <c r="BW97" s="227"/>
      <c r="BX97" s="227"/>
      <c r="BY97" s="227"/>
      <c r="BZ97" s="227"/>
      <c r="CA97" s="227"/>
      <c r="CB97" s="226"/>
      <c r="CC97" s="226"/>
      <c r="CD97" s="226"/>
      <c r="CE97" s="226"/>
      <c r="CF97" s="226"/>
      <c r="CG97" s="226"/>
      <c r="CH97" s="226"/>
      <c r="CI97" s="226"/>
      <c r="CJ97" s="226"/>
      <c r="CK97" s="226"/>
      <c r="CL97" s="226"/>
      <c r="CM97" s="226"/>
      <c r="CN97" s="226"/>
      <c r="CO97" s="226"/>
      <c r="CP97" s="226"/>
      <c r="CQ97" s="226"/>
      <c r="CR97" s="226"/>
      <c r="CS97" s="226"/>
      <c r="CT97" s="226"/>
      <c r="CU97" s="226"/>
      <c r="CV97" s="226"/>
      <c r="CW97" s="226"/>
      <c r="CX97" s="226"/>
      <c r="CY97" s="226"/>
      <c r="CZ97" s="226"/>
      <c r="DA97" s="226"/>
      <c r="DB97" s="226"/>
      <c r="DC97" s="226"/>
      <c r="DD97" s="226"/>
      <c r="DE97" s="226"/>
      <c r="DF97" s="226"/>
      <c r="DG97" s="226"/>
      <c r="DH97" s="226"/>
      <c r="DI97" s="226"/>
      <c r="DJ97" s="226"/>
      <c r="DK97" s="226"/>
      <c r="DL97" s="226"/>
      <c r="DM97" s="226"/>
      <c r="DN97" s="226"/>
      <c r="DO97" s="226"/>
      <c r="DP97" s="226"/>
      <c r="DQ97" s="226"/>
    </row>
    <row r="98" spans="3:121" s="33" customFormat="1"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4"/>
      <c r="AB98" s="35"/>
      <c r="AC98" s="34"/>
      <c r="AD98" s="34"/>
      <c r="AE98" s="34"/>
      <c r="AF98" s="227"/>
      <c r="AG98" s="227"/>
      <c r="AH98" s="227"/>
      <c r="AI98" s="227"/>
      <c r="AJ98" s="227"/>
      <c r="AK98" s="227"/>
      <c r="AL98" s="227"/>
      <c r="AM98" s="227"/>
      <c r="AN98" s="227"/>
      <c r="AO98" s="227"/>
      <c r="AP98" s="227"/>
      <c r="AQ98" s="227"/>
      <c r="AR98" s="227"/>
      <c r="AS98" s="227"/>
      <c r="AT98" s="227"/>
      <c r="AU98" s="227"/>
      <c r="AV98" s="227"/>
      <c r="AW98" s="227"/>
      <c r="AX98" s="227"/>
      <c r="AY98" s="227"/>
      <c r="AZ98" s="227"/>
      <c r="BA98" s="227"/>
      <c r="BB98" s="227"/>
      <c r="BC98" s="227"/>
      <c r="BD98" s="227"/>
      <c r="BE98" s="227"/>
      <c r="BF98" s="227"/>
      <c r="BG98" s="227"/>
      <c r="BH98" s="227"/>
      <c r="BI98" s="227"/>
      <c r="BJ98" s="227"/>
      <c r="BK98" s="227"/>
      <c r="BL98" s="227"/>
      <c r="BM98" s="227"/>
      <c r="BN98" s="227"/>
      <c r="BO98" s="227"/>
      <c r="BP98" s="227"/>
      <c r="BQ98" s="227"/>
      <c r="BR98" s="227"/>
      <c r="BS98" s="227"/>
      <c r="BT98" s="227"/>
      <c r="BU98" s="227"/>
      <c r="BV98" s="227"/>
      <c r="BW98" s="227"/>
      <c r="BX98" s="227"/>
      <c r="BY98" s="227"/>
      <c r="BZ98" s="227"/>
      <c r="CA98" s="227"/>
      <c r="CB98" s="226"/>
      <c r="CC98" s="226"/>
      <c r="CD98" s="226"/>
      <c r="CE98" s="226"/>
      <c r="CF98" s="226"/>
      <c r="CG98" s="226"/>
      <c r="CH98" s="226"/>
      <c r="CI98" s="226"/>
      <c r="CJ98" s="226"/>
      <c r="CK98" s="226"/>
      <c r="CL98" s="226"/>
      <c r="CM98" s="226"/>
      <c r="CN98" s="226"/>
      <c r="CO98" s="226"/>
      <c r="CP98" s="226"/>
      <c r="CQ98" s="226"/>
      <c r="CR98" s="226"/>
      <c r="CS98" s="226"/>
      <c r="CT98" s="226"/>
      <c r="CU98" s="226"/>
      <c r="CV98" s="226"/>
      <c r="CW98" s="226"/>
      <c r="CX98" s="226"/>
      <c r="CY98" s="226"/>
      <c r="CZ98" s="226"/>
      <c r="DA98" s="226"/>
      <c r="DB98" s="226"/>
      <c r="DC98" s="226"/>
      <c r="DD98" s="226"/>
      <c r="DE98" s="226"/>
      <c r="DF98" s="226"/>
      <c r="DG98" s="226"/>
      <c r="DH98" s="226"/>
      <c r="DI98" s="226"/>
      <c r="DJ98" s="226"/>
      <c r="DK98" s="226"/>
      <c r="DL98" s="226"/>
      <c r="DM98" s="226"/>
      <c r="DN98" s="226"/>
      <c r="DO98" s="226"/>
      <c r="DP98" s="226"/>
      <c r="DQ98" s="226"/>
    </row>
    <row r="99" spans="3:121" s="33" customFormat="1"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4"/>
      <c r="AB99" s="35"/>
      <c r="AC99" s="34"/>
      <c r="AD99" s="34"/>
      <c r="AE99" s="34"/>
      <c r="AF99" s="227"/>
      <c r="AG99" s="227"/>
      <c r="AH99" s="227"/>
      <c r="AI99" s="227"/>
      <c r="AJ99" s="227"/>
      <c r="AK99" s="227"/>
      <c r="AL99" s="227"/>
      <c r="AM99" s="227"/>
      <c r="AN99" s="227"/>
      <c r="AO99" s="227"/>
      <c r="AP99" s="227"/>
      <c r="AQ99" s="227"/>
      <c r="AR99" s="227"/>
      <c r="AS99" s="227"/>
      <c r="AT99" s="227"/>
      <c r="AU99" s="227"/>
      <c r="AV99" s="227"/>
      <c r="AW99" s="227"/>
      <c r="AX99" s="227"/>
      <c r="AY99" s="227"/>
      <c r="AZ99" s="227"/>
      <c r="BA99" s="227"/>
      <c r="BB99" s="227"/>
      <c r="BC99" s="227"/>
      <c r="BD99" s="227"/>
      <c r="BE99" s="227"/>
      <c r="BF99" s="227"/>
      <c r="BG99" s="227"/>
      <c r="BH99" s="227"/>
      <c r="BI99" s="227"/>
      <c r="BJ99" s="227"/>
      <c r="BK99" s="227"/>
      <c r="BL99" s="227"/>
      <c r="BM99" s="227"/>
      <c r="BN99" s="227"/>
      <c r="BO99" s="227"/>
      <c r="BP99" s="227"/>
      <c r="BQ99" s="227"/>
      <c r="BR99" s="227"/>
      <c r="BS99" s="227"/>
      <c r="BT99" s="227"/>
      <c r="BU99" s="227"/>
      <c r="BV99" s="227"/>
      <c r="BW99" s="227"/>
      <c r="BX99" s="227"/>
      <c r="BY99" s="227"/>
      <c r="BZ99" s="227"/>
      <c r="CA99" s="227"/>
      <c r="CB99" s="226"/>
      <c r="CC99" s="226"/>
      <c r="CD99" s="226"/>
      <c r="CE99" s="226"/>
      <c r="CF99" s="226"/>
      <c r="CG99" s="226"/>
      <c r="CH99" s="226"/>
      <c r="CI99" s="226"/>
      <c r="CJ99" s="226"/>
      <c r="CK99" s="226"/>
      <c r="CL99" s="226"/>
      <c r="CM99" s="226"/>
      <c r="CN99" s="226"/>
      <c r="CO99" s="226"/>
      <c r="CP99" s="226"/>
      <c r="CQ99" s="226"/>
      <c r="CR99" s="226"/>
      <c r="CS99" s="226"/>
      <c r="CT99" s="226"/>
      <c r="CU99" s="226"/>
      <c r="CV99" s="226"/>
      <c r="CW99" s="226"/>
      <c r="CX99" s="226"/>
      <c r="CY99" s="226"/>
      <c r="CZ99" s="226"/>
      <c r="DA99" s="226"/>
      <c r="DB99" s="226"/>
      <c r="DC99" s="226"/>
      <c r="DD99" s="226"/>
      <c r="DE99" s="226"/>
      <c r="DF99" s="226"/>
      <c r="DG99" s="226"/>
      <c r="DH99" s="226"/>
      <c r="DI99" s="226"/>
      <c r="DJ99" s="226"/>
      <c r="DK99" s="226"/>
      <c r="DL99" s="226"/>
      <c r="DM99" s="226"/>
      <c r="DN99" s="226"/>
      <c r="DO99" s="226"/>
      <c r="DP99" s="226"/>
      <c r="DQ99" s="226"/>
    </row>
    <row r="100" spans="3:121" s="33" customFormat="1"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4"/>
      <c r="AB100" s="35"/>
      <c r="AC100" s="34"/>
      <c r="AD100" s="34"/>
      <c r="AE100" s="34"/>
      <c r="AF100" s="227"/>
      <c r="AG100" s="227"/>
      <c r="AH100" s="227"/>
      <c r="AI100" s="227"/>
      <c r="AJ100" s="227"/>
      <c r="AK100" s="227"/>
      <c r="AL100" s="227"/>
      <c r="AM100" s="227"/>
      <c r="AN100" s="227"/>
      <c r="AO100" s="227"/>
      <c r="AP100" s="227"/>
      <c r="AQ100" s="227"/>
      <c r="AR100" s="227"/>
      <c r="AS100" s="227"/>
      <c r="AT100" s="227"/>
      <c r="AU100" s="227"/>
      <c r="AV100" s="227"/>
      <c r="AW100" s="227"/>
      <c r="AX100" s="227"/>
      <c r="AY100" s="227"/>
      <c r="AZ100" s="227"/>
      <c r="BA100" s="227"/>
      <c r="BB100" s="227"/>
      <c r="BC100" s="227"/>
      <c r="BD100" s="227"/>
      <c r="BE100" s="227"/>
      <c r="BF100" s="227"/>
      <c r="BG100" s="227"/>
      <c r="BH100" s="227"/>
      <c r="BI100" s="227"/>
      <c r="BJ100" s="227"/>
      <c r="BK100" s="227"/>
      <c r="BL100" s="227"/>
      <c r="BM100" s="227"/>
      <c r="BN100" s="227"/>
      <c r="BO100" s="227"/>
      <c r="BP100" s="227"/>
      <c r="BQ100" s="227"/>
      <c r="BR100" s="227"/>
      <c r="BS100" s="227"/>
      <c r="BT100" s="227"/>
      <c r="BU100" s="227"/>
      <c r="BV100" s="227"/>
      <c r="BW100" s="227"/>
      <c r="BX100" s="227"/>
      <c r="BY100" s="227"/>
      <c r="BZ100" s="227"/>
      <c r="CA100" s="227"/>
      <c r="CB100" s="226"/>
      <c r="CC100" s="226"/>
      <c r="CD100" s="226"/>
      <c r="CE100" s="226"/>
      <c r="CF100" s="226"/>
      <c r="CG100" s="226"/>
      <c r="CH100" s="226"/>
      <c r="CI100" s="226"/>
      <c r="CJ100" s="226"/>
      <c r="CK100" s="226"/>
      <c r="CL100" s="226"/>
      <c r="CM100" s="226"/>
      <c r="CN100" s="226"/>
      <c r="CO100" s="226"/>
      <c r="CP100" s="226"/>
      <c r="CQ100" s="226"/>
      <c r="CR100" s="226"/>
      <c r="CS100" s="226"/>
      <c r="CT100" s="226"/>
      <c r="CU100" s="226"/>
      <c r="CV100" s="226"/>
      <c r="CW100" s="226"/>
      <c r="CX100" s="226"/>
      <c r="CY100" s="226"/>
      <c r="CZ100" s="226"/>
      <c r="DA100" s="226"/>
      <c r="DB100" s="226"/>
      <c r="DC100" s="226"/>
      <c r="DD100" s="226"/>
      <c r="DE100" s="226"/>
      <c r="DF100" s="226"/>
      <c r="DG100" s="226"/>
      <c r="DH100" s="226"/>
      <c r="DI100" s="226"/>
      <c r="DJ100" s="226"/>
      <c r="DK100" s="226"/>
      <c r="DL100" s="226"/>
      <c r="DM100" s="226"/>
      <c r="DN100" s="226"/>
      <c r="DO100" s="226"/>
      <c r="DP100" s="226"/>
      <c r="DQ100" s="226"/>
    </row>
    <row r="101" spans="3:121" s="33" customFormat="1"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4"/>
      <c r="AB101" s="35"/>
      <c r="AC101" s="34"/>
      <c r="AD101" s="34"/>
      <c r="AE101" s="34"/>
      <c r="AF101" s="227"/>
      <c r="AG101" s="227"/>
      <c r="AH101" s="227"/>
      <c r="AI101" s="227"/>
      <c r="AJ101" s="227"/>
      <c r="AK101" s="227"/>
      <c r="AL101" s="227"/>
      <c r="AM101" s="227"/>
      <c r="AN101" s="227"/>
      <c r="AO101" s="227"/>
      <c r="AP101" s="227"/>
      <c r="AQ101" s="227"/>
      <c r="AR101" s="227"/>
      <c r="AS101" s="227"/>
      <c r="AT101" s="227"/>
      <c r="AU101" s="227"/>
      <c r="AV101" s="227"/>
      <c r="AW101" s="227"/>
      <c r="AX101" s="227"/>
      <c r="AY101" s="227"/>
      <c r="AZ101" s="227"/>
      <c r="BA101" s="227"/>
      <c r="BB101" s="227"/>
      <c r="BC101" s="227"/>
      <c r="BD101" s="227"/>
      <c r="BE101" s="227"/>
      <c r="BF101" s="227"/>
      <c r="BG101" s="227"/>
      <c r="BH101" s="227"/>
      <c r="BI101" s="227"/>
      <c r="BJ101" s="227"/>
      <c r="BK101" s="227"/>
      <c r="BL101" s="227"/>
      <c r="BM101" s="227"/>
      <c r="BN101" s="227"/>
      <c r="BO101" s="227"/>
      <c r="BP101" s="227"/>
      <c r="BQ101" s="227"/>
      <c r="BR101" s="227"/>
      <c r="BS101" s="227"/>
      <c r="BT101" s="227"/>
      <c r="BU101" s="227"/>
      <c r="BV101" s="227"/>
      <c r="BW101" s="227"/>
      <c r="BX101" s="227"/>
      <c r="BY101" s="227"/>
      <c r="BZ101" s="227"/>
      <c r="CA101" s="227"/>
      <c r="CB101" s="226"/>
      <c r="CC101" s="226"/>
      <c r="CD101" s="226"/>
      <c r="CE101" s="226"/>
      <c r="CF101" s="226"/>
      <c r="CG101" s="226"/>
      <c r="CH101" s="226"/>
      <c r="CI101" s="226"/>
      <c r="CJ101" s="226"/>
      <c r="CK101" s="226"/>
      <c r="CL101" s="226"/>
      <c r="CM101" s="226"/>
      <c r="CN101" s="226"/>
      <c r="CO101" s="226"/>
      <c r="CP101" s="226"/>
      <c r="CQ101" s="226"/>
      <c r="CR101" s="226"/>
      <c r="CS101" s="226"/>
      <c r="CT101" s="226"/>
      <c r="CU101" s="226"/>
      <c r="CV101" s="226"/>
      <c r="CW101" s="226"/>
      <c r="CX101" s="226"/>
      <c r="CY101" s="226"/>
      <c r="CZ101" s="226"/>
      <c r="DA101" s="226"/>
      <c r="DB101" s="226"/>
      <c r="DC101" s="226"/>
      <c r="DD101" s="226"/>
      <c r="DE101" s="226"/>
      <c r="DF101" s="226"/>
      <c r="DG101" s="226"/>
      <c r="DH101" s="226"/>
      <c r="DI101" s="226"/>
      <c r="DJ101" s="226"/>
      <c r="DK101" s="226"/>
      <c r="DL101" s="226"/>
      <c r="DM101" s="226"/>
      <c r="DN101" s="226"/>
      <c r="DO101" s="226"/>
      <c r="DP101" s="226"/>
      <c r="DQ101" s="226"/>
    </row>
    <row r="102" spans="3:121" s="33" customFormat="1"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4"/>
      <c r="AB102" s="35"/>
      <c r="AC102" s="34"/>
      <c r="AD102" s="34"/>
      <c r="AE102" s="34"/>
      <c r="AF102" s="227"/>
      <c r="AG102" s="227"/>
      <c r="AH102" s="227"/>
      <c r="AI102" s="227"/>
      <c r="AJ102" s="227"/>
      <c r="AK102" s="227"/>
      <c r="AL102" s="227"/>
      <c r="AM102" s="227"/>
      <c r="AN102" s="227"/>
      <c r="AO102" s="227"/>
      <c r="AP102" s="227"/>
      <c r="AQ102" s="227"/>
      <c r="AR102" s="227"/>
      <c r="AS102" s="227"/>
      <c r="AT102" s="227"/>
      <c r="AU102" s="227"/>
      <c r="AV102" s="227"/>
      <c r="AW102" s="227"/>
      <c r="AX102" s="227"/>
      <c r="AY102" s="227"/>
      <c r="AZ102" s="227"/>
      <c r="BA102" s="227"/>
      <c r="BB102" s="227"/>
      <c r="BC102" s="227"/>
      <c r="BD102" s="227"/>
      <c r="BE102" s="227"/>
      <c r="BF102" s="227"/>
      <c r="BG102" s="227"/>
      <c r="BH102" s="227"/>
      <c r="BI102" s="227"/>
      <c r="BJ102" s="227"/>
      <c r="BK102" s="227"/>
      <c r="BL102" s="227"/>
      <c r="BM102" s="227"/>
      <c r="BN102" s="227"/>
      <c r="BO102" s="227"/>
      <c r="BP102" s="227"/>
      <c r="BQ102" s="227"/>
      <c r="BR102" s="227"/>
      <c r="BS102" s="227"/>
      <c r="BT102" s="227"/>
      <c r="BU102" s="227"/>
      <c r="BV102" s="227"/>
      <c r="BW102" s="227"/>
      <c r="BX102" s="227"/>
      <c r="BY102" s="227"/>
      <c r="BZ102" s="227"/>
      <c r="CA102" s="227"/>
      <c r="CB102" s="226"/>
      <c r="CC102" s="226"/>
      <c r="CD102" s="226"/>
      <c r="CE102" s="226"/>
      <c r="CF102" s="226"/>
      <c r="CG102" s="226"/>
      <c r="CH102" s="226"/>
      <c r="CI102" s="226"/>
      <c r="CJ102" s="226"/>
      <c r="CK102" s="226"/>
      <c r="CL102" s="226"/>
      <c r="CM102" s="226"/>
      <c r="CN102" s="226"/>
      <c r="CO102" s="226"/>
      <c r="CP102" s="226"/>
      <c r="CQ102" s="226"/>
      <c r="CR102" s="226"/>
      <c r="CS102" s="226"/>
      <c r="CT102" s="226"/>
      <c r="CU102" s="226"/>
      <c r="CV102" s="226"/>
      <c r="CW102" s="226"/>
      <c r="CX102" s="226"/>
      <c r="CY102" s="226"/>
      <c r="CZ102" s="226"/>
      <c r="DA102" s="226"/>
      <c r="DB102" s="226"/>
      <c r="DC102" s="226"/>
      <c r="DD102" s="226"/>
      <c r="DE102" s="226"/>
      <c r="DF102" s="226"/>
      <c r="DG102" s="226"/>
      <c r="DH102" s="226"/>
      <c r="DI102" s="226"/>
      <c r="DJ102" s="226"/>
      <c r="DK102" s="226"/>
      <c r="DL102" s="226"/>
      <c r="DM102" s="226"/>
      <c r="DN102" s="226"/>
      <c r="DO102" s="226"/>
      <c r="DP102" s="226"/>
      <c r="DQ102" s="226"/>
    </row>
    <row r="103" spans="3:121" s="33" customFormat="1"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4"/>
      <c r="AB103" s="35"/>
      <c r="AC103" s="34"/>
      <c r="AD103" s="34"/>
      <c r="AE103" s="34"/>
      <c r="AF103" s="227"/>
      <c r="AG103" s="227"/>
      <c r="AH103" s="227"/>
      <c r="AI103" s="227"/>
      <c r="AJ103" s="227"/>
      <c r="AK103" s="227"/>
      <c r="AL103" s="227"/>
      <c r="AM103" s="227"/>
      <c r="AN103" s="227"/>
      <c r="AO103" s="227"/>
      <c r="AP103" s="227"/>
      <c r="AQ103" s="227"/>
      <c r="AR103" s="227"/>
      <c r="AS103" s="227"/>
      <c r="AT103" s="227"/>
      <c r="AU103" s="227"/>
      <c r="AV103" s="227"/>
      <c r="AW103" s="227"/>
      <c r="AX103" s="227"/>
      <c r="AY103" s="227"/>
      <c r="AZ103" s="227"/>
      <c r="BA103" s="227"/>
      <c r="BB103" s="227"/>
      <c r="BC103" s="227"/>
      <c r="BD103" s="227"/>
      <c r="BE103" s="227"/>
      <c r="BF103" s="227"/>
      <c r="BG103" s="227"/>
      <c r="BH103" s="227"/>
      <c r="BI103" s="227"/>
      <c r="BJ103" s="227"/>
      <c r="BK103" s="227"/>
      <c r="BL103" s="227"/>
      <c r="BM103" s="227"/>
      <c r="BN103" s="227"/>
      <c r="BO103" s="227"/>
      <c r="BP103" s="227"/>
      <c r="BQ103" s="227"/>
      <c r="BR103" s="227"/>
      <c r="BS103" s="227"/>
      <c r="BT103" s="227"/>
      <c r="BU103" s="227"/>
      <c r="BV103" s="227"/>
      <c r="BW103" s="227"/>
      <c r="BX103" s="227"/>
      <c r="BY103" s="227"/>
      <c r="BZ103" s="227"/>
      <c r="CA103" s="227"/>
      <c r="CB103" s="226"/>
      <c r="CC103" s="226"/>
      <c r="CD103" s="226"/>
      <c r="CE103" s="226"/>
      <c r="CF103" s="226"/>
      <c r="CG103" s="226"/>
      <c r="CH103" s="226"/>
      <c r="CI103" s="226"/>
      <c r="CJ103" s="226"/>
      <c r="CK103" s="226"/>
      <c r="CL103" s="226"/>
      <c r="CM103" s="226"/>
      <c r="CN103" s="226"/>
      <c r="CO103" s="226"/>
      <c r="CP103" s="226"/>
      <c r="CQ103" s="226"/>
      <c r="CR103" s="226"/>
      <c r="CS103" s="226"/>
      <c r="CT103" s="226"/>
      <c r="CU103" s="226"/>
      <c r="CV103" s="226"/>
      <c r="CW103" s="226"/>
      <c r="CX103" s="226"/>
      <c r="CY103" s="226"/>
      <c r="CZ103" s="226"/>
      <c r="DA103" s="226"/>
      <c r="DB103" s="226"/>
      <c r="DC103" s="226"/>
      <c r="DD103" s="226"/>
      <c r="DE103" s="226"/>
      <c r="DF103" s="226"/>
      <c r="DG103" s="226"/>
      <c r="DH103" s="226"/>
      <c r="DI103" s="226"/>
      <c r="DJ103" s="226"/>
      <c r="DK103" s="226"/>
      <c r="DL103" s="226"/>
      <c r="DM103" s="226"/>
      <c r="DN103" s="226"/>
      <c r="DO103" s="226"/>
      <c r="DP103" s="226"/>
      <c r="DQ103" s="226"/>
    </row>
    <row r="104" spans="3:121" s="33" customFormat="1"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4"/>
      <c r="AB104" s="35"/>
      <c r="AC104" s="34"/>
      <c r="AD104" s="34"/>
      <c r="AE104" s="34"/>
      <c r="AF104" s="227"/>
      <c r="AG104" s="227"/>
      <c r="AH104" s="227"/>
      <c r="AI104" s="227"/>
      <c r="AJ104" s="227"/>
      <c r="AK104" s="227"/>
      <c r="AL104" s="227"/>
      <c r="AM104" s="227"/>
      <c r="AN104" s="227"/>
      <c r="AO104" s="227"/>
      <c r="AP104" s="227"/>
      <c r="AQ104" s="227"/>
      <c r="AR104" s="227"/>
      <c r="AS104" s="227"/>
      <c r="AT104" s="227"/>
      <c r="AU104" s="227"/>
      <c r="AV104" s="227"/>
      <c r="AW104" s="227"/>
      <c r="AX104" s="227"/>
      <c r="AY104" s="227"/>
      <c r="AZ104" s="227"/>
      <c r="BA104" s="227"/>
      <c r="BB104" s="227"/>
      <c r="BC104" s="227"/>
      <c r="BD104" s="227"/>
      <c r="BE104" s="227"/>
      <c r="BF104" s="227"/>
      <c r="BG104" s="227"/>
      <c r="BH104" s="227"/>
      <c r="BI104" s="227"/>
      <c r="BJ104" s="227"/>
      <c r="BK104" s="227"/>
      <c r="BL104" s="227"/>
      <c r="BM104" s="227"/>
      <c r="BN104" s="227"/>
      <c r="BO104" s="227"/>
      <c r="BP104" s="227"/>
      <c r="BQ104" s="227"/>
      <c r="BR104" s="227"/>
      <c r="BS104" s="227"/>
      <c r="BT104" s="227"/>
      <c r="BU104" s="227"/>
      <c r="BV104" s="227"/>
      <c r="BW104" s="227"/>
      <c r="BX104" s="227"/>
      <c r="BY104" s="227"/>
      <c r="BZ104" s="227"/>
      <c r="CA104" s="227"/>
      <c r="CB104" s="226"/>
      <c r="CC104" s="226"/>
      <c r="CD104" s="226"/>
      <c r="CE104" s="226"/>
      <c r="CF104" s="226"/>
      <c r="CG104" s="226"/>
      <c r="CH104" s="226"/>
      <c r="CI104" s="226"/>
      <c r="CJ104" s="226"/>
      <c r="CK104" s="226"/>
      <c r="CL104" s="226"/>
      <c r="CM104" s="226"/>
      <c r="CN104" s="226"/>
      <c r="CO104" s="226"/>
      <c r="CP104" s="226"/>
      <c r="CQ104" s="226"/>
      <c r="CR104" s="226"/>
      <c r="CS104" s="226"/>
      <c r="CT104" s="226"/>
      <c r="CU104" s="226"/>
      <c r="CV104" s="226"/>
      <c r="CW104" s="226"/>
      <c r="CX104" s="226"/>
      <c r="CY104" s="226"/>
      <c r="CZ104" s="226"/>
      <c r="DA104" s="226"/>
      <c r="DB104" s="226"/>
      <c r="DC104" s="226"/>
      <c r="DD104" s="226"/>
      <c r="DE104" s="226"/>
      <c r="DF104" s="226"/>
      <c r="DG104" s="226"/>
      <c r="DH104" s="226"/>
      <c r="DI104" s="226"/>
      <c r="DJ104" s="226"/>
      <c r="DK104" s="226"/>
      <c r="DL104" s="226"/>
      <c r="DM104" s="226"/>
      <c r="DN104" s="226"/>
      <c r="DO104" s="226"/>
      <c r="DP104" s="226"/>
      <c r="DQ104" s="226"/>
    </row>
    <row r="105" spans="3:121" s="33" customFormat="1"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4"/>
      <c r="AB105" s="35"/>
      <c r="AC105" s="34"/>
      <c r="AD105" s="34"/>
      <c r="AE105" s="34"/>
      <c r="AF105" s="227"/>
      <c r="AG105" s="227"/>
      <c r="AH105" s="227"/>
      <c r="AI105" s="227"/>
      <c r="AJ105" s="227"/>
      <c r="AK105" s="227"/>
      <c r="AL105" s="227"/>
      <c r="AM105" s="227"/>
      <c r="AN105" s="227"/>
      <c r="AO105" s="227"/>
      <c r="AP105" s="227"/>
      <c r="AQ105" s="227"/>
      <c r="AR105" s="227"/>
      <c r="AS105" s="227"/>
      <c r="AT105" s="227"/>
      <c r="AU105" s="227"/>
      <c r="AV105" s="227"/>
      <c r="AW105" s="227"/>
      <c r="AX105" s="227"/>
      <c r="AY105" s="227"/>
      <c r="AZ105" s="227"/>
      <c r="BA105" s="227"/>
      <c r="BB105" s="227"/>
      <c r="BC105" s="227"/>
      <c r="BD105" s="227"/>
      <c r="BE105" s="227"/>
      <c r="BF105" s="227"/>
      <c r="BG105" s="227"/>
      <c r="BH105" s="227"/>
      <c r="BI105" s="227"/>
      <c r="BJ105" s="227"/>
      <c r="BK105" s="227"/>
      <c r="BL105" s="227"/>
      <c r="BM105" s="227"/>
      <c r="BN105" s="227"/>
      <c r="BO105" s="227"/>
      <c r="BP105" s="227"/>
      <c r="BQ105" s="227"/>
      <c r="BR105" s="227"/>
      <c r="BS105" s="227"/>
      <c r="BT105" s="227"/>
      <c r="BU105" s="227"/>
      <c r="BV105" s="227"/>
      <c r="BW105" s="227"/>
      <c r="BX105" s="227"/>
      <c r="BY105" s="227"/>
      <c r="BZ105" s="227"/>
      <c r="CA105" s="227"/>
      <c r="CB105" s="226"/>
      <c r="CC105" s="226"/>
      <c r="CD105" s="226"/>
      <c r="CE105" s="226"/>
      <c r="CF105" s="226"/>
      <c r="CG105" s="226"/>
      <c r="CH105" s="226"/>
      <c r="CI105" s="226"/>
      <c r="CJ105" s="226"/>
      <c r="CK105" s="226"/>
      <c r="CL105" s="226"/>
      <c r="CM105" s="226"/>
      <c r="CN105" s="226"/>
      <c r="CO105" s="226"/>
      <c r="CP105" s="226"/>
      <c r="CQ105" s="226"/>
      <c r="CR105" s="226"/>
      <c r="CS105" s="226"/>
      <c r="CT105" s="226"/>
      <c r="CU105" s="226"/>
      <c r="CV105" s="226"/>
      <c r="CW105" s="226"/>
      <c r="CX105" s="226"/>
      <c r="CY105" s="226"/>
      <c r="CZ105" s="226"/>
      <c r="DA105" s="226"/>
      <c r="DB105" s="226"/>
      <c r="DC105" s="226"/>
      <c r="DD105" s="226"/>
      <c r="DE105" s="226"/>
      <c r="DF105" s="226"/>
      <c r="DG105" s="226"/>
      <c r="DH105" s="226"/>
      <c r="DI105" s="226"/>
      <c r="DJ105" s="226"/>
      <c r="DK105" s="226"/>
      <c r="DL105" s="226"/>
      <c r="DM105" s="226"/>
      <c r="DN105" s="226"/>
      <c r="DO105" s="226"/>
      <c r="DP105" s="226"/>
      <c r="DQ105" s="226"/>
    </row>
    <row r="106" spans="3:121" s="33" customFormat="1"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4"/>
      <c r="AB106" s="35"/>
      <c r="AC106" s="34"/>
      <c r="AD106" s="34"/>
      <c r="AE106" s="34"/>
      <c r="AF106" s="227"/>
      <c r="AG106" s="227"/>
      <c r="AH106" s="227"/>
      <c r="AI106" s="227"/>
      <c r="AJ106" s="227"/>
      <c r="AK106" s="227"/>
      <c r="AL106" s="227"/>
      <c r="AM106" s="227"/>
      <c r="AN106" s="227"/>
      <c r="AO106" s="227"/>
      <c r="AP106" s="227"/>
      <c r="AQ106" s="227"/>
      <c r="AR106" s="227"/>
      <c r="AS106" s="227"/>
      <c r="AT106" s="227"/>
      <c r="AU106" s="227"/>
      <c r="AV106" s="227"/>
      <c r="AW106" s="227"/>
      <c r="AX106" s="227"/>
      <c r="AY106" s="227"/>
      <c r="AZ106" s="227"/>
      <c r="BA106" s="227"/>
      <c r="BB106" s="227"/>
      <c r="BC106" s="227"/>
      <c r="BD106" s="227"/>
      <c r="BE106" s="227"/>
      <c r="BF106" s="227"/>
      <c r="BG106" s="227"/>
      <c r="BH106" s="227"/>
      <c r="BI106" s="227"/>
      <c r="BJ106" s="227"/>
      <c r="BK106" s="227"/>
      <c r="BL106" s="227"/>
      <c r="BM106" s="227"/>
      <c r="BN106" s="227"/>
      <c r="BO106" s="227"/>
      <c r="BP106" s="227"/>
      <c r="BQ106" s="227"/>
      <c r="BR106" s="227"/>
      <c r="BS106" s="227"/>
      <c r="BT106" s="227"/>
      <c r="BU106" s="227"/>
      <c r="BV106" s="227"/>
      <c r="BW106" s="227"/>
      <c r="BX106" s="227"/>
      <c r="BY106" s="227"/>
      <c r="BZ106" s="227"/>
      <c r="CA106" s="227"/>
      <c r="CB106" s="226"/>
      <c r="CC106" s="226"/>
      <c r="CD106" s="226"/>
      <c r="CE106" s="226"/>
      <c r="CF106" s="226"/>
      <c r="CG106" s="226"/>
      <c r="CH106" s="226"/>
      <c r="CI106" s="226"/>
      <c r="CJ106" s="226"/>
      <c r="CK106" s="226"/>
      <c r="CL106" s="226"/>
      <c r="CM106" s="226"/>
      <c r="CN106" s="226"/>
      <c r="CO106" s="226"/>
      <c r="CP106" s="226"/>
      <c r="CQ106" s="226"/>
      <c r="CR106" s="226"/>
      <c r="CS106" s="226"/>
      <c r="CT106" s="226"/>
      <c r="CU106" s="226"/>
      <c r="CV106" s="226"/>
      <c r="CW106" s="226"/>
      <c r="CX106" s="226"/>
      <c r="CY106" s="226"/>
      <c r="CZ106" s="226"/>
      <c r="DA106" s="226"/>
      <c r="DB106" s="226"/>
      <c r="DC106" s="226"/>
      <c r="DD106" s="226"/>
      <c r="DE106" s="226"/>
      <c r="DF106" s="226"/>
      <c r="DG106" s="226"/>
      <c r="DH106" s="226"/>
      <c r="DI106" s="226"/>
      <c r="DJ106" s="226"/>
      <c r="DK106" s="226"/>
      <c r="DL106" s="226"/>
      <c r="DM106" s="226"/>
      <c r="DN106" s="226"/>
      <c r="DO106" s="226"/>
      <c r="DP106" s="226"/>
      <c r="DQ106" s="226"/>
    </row>
    <row r="107" spans="3:121" s="33" customFormat="1"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4"/>
      <c r="AB107" s="35"/>
      <c r="AC107" s="34"/>
      <c r="AD107" s="34"/>
      <c r="AE107" s="34"/>
      <c r="AF107" s="227"/>
      <c r="AG107" s="227"/>
      <c r="AH107" s="227"/>
      <c r="AI107" s="227"/>
      <c r="AJ107" s="227"/>
      <c r="AK107" s="227"/>
      <c r="AL107" s="227"/>
      <c r="AM107" s="227"/>
      <c r="AN107" s="227"/>
      <c r="AO107" s="227"/>
      <c r="AP107" s="227"/>
      <c r="AQ107" s="227"/>
      <c r="AR107" s="227"/>
      <c r="AS107" s="227"/>
      <c r="AT107" s="227"/>
      <c r="AU107" s="227"/>
      <c r="AV107" s="227"/>
      <c r="AW107" s="227"/>
      <c r="AX107" s="227"/>
      <c r="AY107" s="227"/>
      <c r="AZ107" s="227"/>
      <c r="BA107" s="227"/>
      <c r="BB107" s="227"/>
      <c r="BC107" s="227"/>
      <c r="BD107" s="227"/>
      <c r="BE107" s="227"/>
      <c r="BF107" s="227"/>
      <c r="BG107" s="227"/>
      <c r="BH107" s="227"/>
      <c r="BI107" s="227"/>
      <c r="BJ107" s="227"/>
      <c r="BK107" s="227"/>
      <c r="BL107" s="227"/>
      <c r="BM107" s="227"/>
      <c r="BN107" s="227"/>
      <c r="BO107" s="227"/>
      <c r="BP107" s="227"/>
      <c r="BQ107" s="227"/>
      <c r="BR107" s="227"/>
      <c r="BS107" s="227"/>
      <c r="BT107" s="227"/>
      <c r="BU107" s="227"/>
      <c r="BV107" s="227"/>
      <c r="BW107" s="227"/>
      <c r="BX107" s="227"/>
      <c r="BY107" s="227"/>
      <c r="BZ107" s="227"/>
      <c r="CA107" s="227"/>
      <c r="CB107" s="226"/>
      <c r="CC107" s="226"/>
      <c r="CD107" s="226"/>
      <c r="CE107" s="226"/>
      <c r="CF107" s="226"/>
      <c r="CG107" s="226"/>
      <c r="CH107" s="226"/>
      <c r="CI107" s="226"/>
      <c r="CJ107" s="226"/>
      <c r="CK107" s="226"/>
      <c r="CL107" s="226"/>
      <c r="CM107" s="226"/>
      <c r="CN107" s="226"/>
      <c r="CO107" s="226"/>
      <c r="CP107" s="226"/>
      <c r="CQ107" s="226"/>
      <c r="CR107" s="226"/>
      <c r="CS107" s="226"/>
      <c r="CT107" s="226"/>
      <c r="CU107" s="226"/>
      <c r="CV107" s="226"/>
      <c r="CW107" s="226"/>
      <c r="CX107" s="226"/>
      <c r="CY107" s="226"/>
      <c r="CZ107" s="226"/>
      <c r="DA107" s="226"/>
      <c r="DB107" s="226"/>
      <c r="DC107" s="226"/>
      <c r="DD107" s="226"/>
      <c r="DE107" s="226"/>
      <c r="DF107" s="226"/>
      <c r="DG107" s="226"/>
      <c r="DH107" s="226"/>
      <c r="DI107" s="226"/>
      <c r="DJ107" s="226"/>
      <c r="DK107" s="226"/>
      <c r="DL107" s="226"/>
      <c r="DM107" s="226"/>
      <c r="DN107" s="226"/>
      <c r="DO107" s="226"/>
      <c r="DP107" s="226"/>
      <c r="DQ107" s="226"/>
    </row>
    <row r="108" spans="3:121" s="33" customFormat="1"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4"/>
      <c r="AB108" s="35"/>
      <c r="AC108" s="34"/>
      <c r="AD108" s="34"/>
      <c r="AE108" s="34"/>
      <c r="AF108" s="227"/>
      <c r="AG108" s="227"/>
      <c r="AH108" s="227"/>
      <c r="AI108" s="227"/>
      <c r="AJ108" s="227"/>
      <c r="AK108" s="227"/>
      <c r="AL108" s="227"/>
      <c r="AM108" s="227"/>
      <c r="AN108" s="227"/>
      <c r="AO108" s="227"/>
      <c r="AP108" s="227"/>
      <c r="AQ108" s="227"/>
      <c r="AR108" s="227"/>
      <c r="AS108" s="227"/>
      <c r="AT108" s="227"/>
      <c r="AU108" s="227"/>
      <c r="AV108" s="227"/>
      <c r="AW108" s="227"/>
      <c r="AX108" s="227"/>
      <c r="AY108" s="227"/>
      <c r="AZ108" s="227"/>
      <c r="BA108" s="227"/>
      <c r="BB108" s="227"/>
      <c r="BC108" s="227"/>
      <c r="BD108" s="227"/>
      <c r="BE108" s="227"/>
      <c r="BF108" s="227"/>
      <c r="BG108" s="227"/>
      <c r="BH108" s="227"/>
      <c r="BI108" s="227"/>
      <c r="BJ108" s="227"/>
      <c r="BK108" s="227"/>
      <c r="BL108" s="227"/>
      <c r="BM108" s="227"/>
      <c r="BN108" s="227"/>
      <c r="BO108" s="227"/>
      <c r="BP108" s="227"/>
      <c r="BQ108" s="227"/>
      <c r="BR108" s="227"/>
      <c r="BS108" s="227"/>
      <c r="BT108" s="227"/>
      <c r="BU108" s="227"/>
      <c r="BV108" s="227"/>
      <c r="BW108" s="227"/>
      <c r="BX108" s="227"/>
      <c r="BY108" s="227"/>
      <c r="BZ108" s="227"/>
      <c r="CA108" s="227"/>
      <c r="CB108" s="226"/>
      <c r="CC108" s="226"/>
      <c r="CD108" s="226"/>
      <c r="CE108" s="226"/>
      <c r="CF108" s="226"/>
      <c r="CG108" s="226"/>
      <c r="CH108" s="226"/>
      <c r="CI108" s="226"/>
      <c r="CJ108" s="226"/>
      <c r="CK108" s="226"/>
      <c r="CL108" s="226"/>
      <c r="CM108" s="226"/>
      <c r="CN108" s="226"/>
      <c r="CO108" s="226"/>
      <c r="CP108" s="226"/>
      <c r="CQ108" s="226"/>
      <c r="CR108" s="226"/>
      <c r="CS108" s="226"/>
      <c r="CT108" s="226"/>
      <c r="CU108" s="226"/>
      <c r="CV108" s="226"/>
      <c r="CW108" s="226"/>
      <c r="CX108" s="226"/>
      <c r="CY108" s="226"/>
      <c r="CZ108" s="226"/>
      <c r="DA108" s="226"/>
      <c r="DB108" s="226"/>
      <c r="DC108" s="226"/>
      <c r="DD108" s="226"/>
      <c r="DE108" s="226"/>
      <c r="DF108" s="226"/>
      <c r="DG108" s="226"/>
      <c r="DH108" s="226"/>
      <c r="DI108" s="226"/>
      <c r="DJ108" s="226"/>
      <c r="DK108" s="226"/>
      <c r="DL108" s="226"/>
      <c r="DM108" s="226"/>
      <c r="DN108" s="226"/>
      <c r="DO108" s="226"/>
      <c r="DP108" s="226"/>
      <c r="DQ108" s="226"/>
    </row>
    <row r="109" spans="3:121" s="33" customFormat="1"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4"/>
      <c r="AB109" s="35"/>
      <c r="AC109" s="34"/>
      <c r="AD109" s="34"/>
      <c r="AE109" s="34"/>
      <c r="AF109" s="227"/>
      <c r="AG109" s="227"/>
      <c r="AH109" s="227"/>
      <c r="AI109" s="227"/>
      <c r="AJ109" s="227"/>
      <c r="AK109" s="227"/>
      <c r="AL109" s="227"/>
      <c r="AM109" s="227"/>
      <c r="AN109" s="227"/>
      <c r="AO109" s="227"/>
      <c r="AP109" s="227"/>
      <c r="AQ109" s="227"/>
      <c r="AR109" s="227"/>
      <c r="AS109" s="227"/>
      <c r="AT109" s="227"/>
      <c r="AU109" s="227"/>
      <c r="AV109" s="227"/>
      <c r="AW109" s="227"/>
      <c r="AX109" s="227"/>
      <c r="AY109" s="227"/>
      <c r="AZ109" s="227"/>
      <c r="BA109" s="227"/>
      <c r="BB109" s="227"/>
      <c r="BC109" s="227"/>
      <c r="BD109" s="227"/>
      <c r="BE109" s="227"/>
      <c r="BF109" s="227"/>
      <c r="BG109" s="227"/>
      <c r="BH109" s="227"/>
      <c r="BI109" s="227"/>
      <c r="BJ109" s="227"/>
      <c r="BK109" s="227"/>
      <c r="BL109" s="227"/>
      <c r="BM109" s="227"/>
      <c r="BN109" s="227"/>
      <c r="BO109" s="227"/>
      <c r="BP109" s="227"/>
      <c r="BQ109" s="227"/>
      <c r="BR109" s="227"/>
      <c r="BS109" s="227"/>
      <c r="BT109" s="227"/>
      <c r="BU109" s="227"/>
      <c r="BV109" s="227"/>
      <c r="BW109" s="227"/>
      <c r="BX109" s="227"/>
      <c r="BY109" s="227"/>
      <c r="BZ109" s="227"/>
      <c r="CA109" s="227"/>
      <c r="CB109" s="226"/>
      <c r="CC109" s="226"/>
      <c r="CD109" s="226"/>
      <c r="CE109" s="226"/>
      <c r="CF109" s="226"/>
      <c r="CG109" s="226"/>
      <c r="CH109" s="226"/>
      <c r="CI109" s="226"/>
      <c r="CJ109" s="226"/>
      <c r="CK109" s="226"/>
      <c r="CL109" s="226"/>
      <c r="CM109" s="226"/>
      <c r="CN109" s="226"/>
      <c r="CO109" s="226"/>
      <c r="CP109" s="226"/>
      <c r="CQ109" s="226"/>
      <c r="CR109" s="226"/>
      <c r="CS109" s="226"/>
      <c r="CT109" s="226"/>
      <c r="CU109" s="226"/>
      <c r="CV109" s="226"/>
      <c r="CW109" s="226"/>
      <c r="CX109" s="226"/>
      <c r="CY109" s="226"/>
      <c r="CZ109" s="226"/>
      <c r="DA109" s="226"/>
      <c r="DB109" s="226"/>
      <c r="DC109" s="226"/>
      <c r="DD109" s="226"/>
      <c r="DE109" s="226"/>
      <c r="DF109" s="226"/>
      <c r="DG109" s="226"/>
      <c r="DH109" s="226"/>
      <c r="DI109" s="226"/>
      <c r="DJ109" s="226"/>
      <c r="DK109" s="226"/>
      <c r="DL109" s="226"/>
      <c r="DM109" s="226"/>
      <c r="DN109" s="226"/>
      <c r="DO109" s="226"/>
      <c r="DP109" s="226"/>
      <c r="DQ109" s="226"/>
    </row>
    <row r="110" spans="3:121" s="33" customFormat="1"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4"/>
      <c r="AB110" s="35"/>
      <c r="AC110" s="34"/>
      <c r="AD110" s="34"/>
      <c r="AE110" s="34"/>
      <c r="AF110" s="227"/>
      <c r="AG110" s="227"/>
      <c r="AH110" s="227"/>
      <c r="AI110" s="227"/>
      <c r="AJ110" s="227"/>
      <c r="AK110" s="227"/>
      <c r="AL110" s="227"/>
      <c r="AM110" s="227"/>
      <c r="AN110" s="227"/>
      <c r="AO110" s="227"/>
      <c r="AP110" s="227"/>
      <c r="AQ110" s="227"/>
      <c r="AR110" s="227"/>
      <c r="AS110" s="227"/>
      <c r="AT110" s="227"/>
      <c r="AU110" s="227"/>
      <c r="AV110" s="227"/>
      <c r="AW110" s="227"/>
      <c r="AX110" s="227"/>
      <c r="AY110" s="227"/>
      <c r="AZ110" s="227"/>
      <c r="BA110" s="227"/>
      <c r="BB110" s="227"/>
      <c r="BC110" s="227"/>
      <c r="BD110" s="227"/>
      <c r="BE110" s="227"/>
      <c r="BF110" s="227"/>
      <c r="BG110" s="227"/>
      <c r="BH110" s="227"/>
      <c r="BI110" s="227"/>
      <c r="BJ110" s="227"/>
      <c r="BK110" s="227"/>
      <c r="BL110" s="227"/>
      <c r="BM110" s="227"/>
      <c r="BN110" s="227"/>
      <c r="BO110" s="227"/>
      <c r="BP110" s="227"/>
      <c r="BQ110" s="227"/>
      <c r="BR110" s="227"/>
      <c r="BS110" s="227"/>
      <c r="BT110" s="227"/>
      <c r="BU110" s="227"/>
      <c r="BV110" s="227"/>
      <c r="BW110" s="227"/>
      <c r="BX110" s="227"/>
      <c r="BY110" s="227"/>
      <c r="BZ110" s="227"/>
      <c r="CA110" s="227"/>
      <c r="CB110" s="226"/>
      <c r="CC110" s="226"/>
      <c r="CD110" s="226"/>
      <c r="CE110" s="226"/>
      <c r="CF110" s="226"/>
      <c r="CG110" s="226"/>
      <c r="CH110" s="226"/>
      <c r="CI110" s="226"/>
      <c r="CJ110" s="226"/>
      <c r="CK110" s="226"/>
      <c r="CL110" s="226"/>
      <c r="CM110" s="226"/>
      <c r="CN110" s="226"/>
      <c r="CO110" s="226"/>
      <c r="CP110" s="226"/>
      <c r="CQ110" s="226"/>
      <c r="CR110" s="226"/>
      <c r="CS110" s="226"/>
      <c r="CT110" s="226"/>
      <c r="CU110" s="226"/>
      <c r="CV110" s="226"/>
      <c r="CW110" s="226"/>
      <c r="CX110" s="226"/>
      <c r="CY110" s="226"/>
      <c r="CZ110" s="226"/>
      <c r="DA110" s="226"/>
      <c r="DB110" s="226"/>
      <c r="DC110" s="226"/>
      <c r="DD110" s="226"/>
      <c r="DE110" s="226"/>
      <c r="DF110" s="226"/>
      <c r="DG110" s="226"/>
      <c r="DH110" s="226"/>
      <c r="DI110" s="226"/>
      <c r="DJ110" s="226"/>
      <c r="DK110" s="226"/>
      <c r="DL110" s="226"/>
      <c r="DM110" s="226"/>
      <c r="DN110" s="226"/>
      <c r="DO110" s="226"/>
      <c r="DP110" s="226"/>
      <c r="DQ110" s="226"/>
    </row>
    <row r="111" spans="3:121" s="33" customFormat="1"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4"/>
      <c r="AB111" s="35"/>
      <c r="AC111" s="34"/>
      <c r="AD111" s="34"/>
      <c r="AE111" s="34"/>
      <c r="AF111" s="227"/>
      <c r="AG111" s="227"/>
      <c r="AH111" s="227"/>
      <c r="AI111" s="227"/>
      <c r="AJ111" s="227"/>
      <c r="AK111" s="227"/>
      <c r="AL111" s="227"/>
      <c r="AM111" s="227"/>
      <c r="AN111" s="227"/>
      <c r="AO111" s="227"/>
      <c r="AP111" s="227"/>
      <c r="AQ111" s="227"/>
      <c r="AR111" s="227"/>
      <c r="AS111" s="227"/>
      <c r="AT111" s="227"/>
      <c r="AU111" s="227"/>
      <c r="AV111" s="227"/>
      <c r="AW111" s="227"/>
      <c r="AX111" s="227"/>
      <c r="AY111" s="227"/>
      <c r="AZ111" s="227"/>
      <c r="BA111" s="227"/>
      <c r="BB111" s="227"/>
      <c r="BC111" s="227"/>
      <c r="BD111" s="227"/>
      <c r="BE111" s="227"/>
      <c r="BF111" s="227"/>
      <c r="BG111" s="227"/>
      <c r="BH111" s="227"/>
      <c r="BI111" s="227"/>
      <c r="BJ111" s="227"/>
      <c r="BK111" s="227"/>
      <c r="BL111" s="227"/>
      <c r="BM111" s="227"/>
      <c r="BN111" s="227"/>
      <c r="BO111" s="227"/>
      <c r="BP111" s="227"/>
      <c r="BQ111" s="227"/>
      <c r="BR111" s="227"/>
      <c r="BS111" s="227"/>
      <c r="BT111" s="227"/>
      <c r="BU111" s="227"/>
      <c r="BV111" s="227"/>
      <c r="BW111" s="227"/>
      <c r="BX111" s="227"/>
      <c r="BY111" s="227"/>
      <c r="BZ111" s="227"/>
      <c r="CA111" s="227"/>
      <c r="CB111" s="226"/>
      <c r="CC111" s="226"/>
      <c r="CD111" s="226"/>
      <c r="CE111" s="226"/>
      <c r="CF111" s="226"/>
      <c r="CG111" s="226"/>
      <c r="CH111" s="226"/>
      <c r="CI111" s="226"/>
      <c r="CJ111" s="226"/>
      <c r="CK111" s="226"/>
      <c r="CL111" s="226"/>
      <c r="CM111" s="226"/>
      <c r="CN111" s="226"/>
      <c r="CO111" s="226"/>
      <c r="CP111" s="226"/>
      <c r="CQ111" s="226"/>
      <c r="CR111" s="226"/>
      <c r="CS111" s="226"/>
      <c r="CT111" s="226"/>
      <c r="CU111" s="226"/>
      <c r="CV111" s="226"/>
      <c r="CW111" s="226"/>
      <c r="CX111" s="226"/>
      <c r="CY111" s="226"/>
      <c r="CZ111" s="226"/>
      <c r="DA111" s="226"/>
      <c r="DB111" s="226"/>
      <c r="DC111" s="226"/>
      <c r="DD111" s="226"/>
      <c r="DE111" s="226"/>
      <c r="DF111" s="226"/>
      <c r="DG111" s="226"/>
      <c r="DH111" s="226"/>
      <c r="DI111" s="226"/>
      <c r="DJ111" s="226"/>
      <c r="DK111" s="226"/>
      <c r="DL111" s="226"/>
      <c r="DM111" s="226"/>
      <c r="DN111" s="226"/>
      <c r="DO111" s="226"/>
      <c r="DP111" s="226"/>
      <c r="DQ111" s="226"/>
    </row>
    <row r="112" spans="3:121" s="33" customFormat="1"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4"/>
      <c r="AB112" s="35"/>
      <c r="AC112" s="34"/>
      <c r="AD112" s="34"/>
      <c r="AE112" s="34"/>
      <c r="AF112" s="227"/>
      <c r="AG112" s="227"/>
      <c r="AH112" s="227"/>
      <c r="AI112" s="227"/>
      <c r="AJ112" s="227"/>
      <c r="AK112" s="227"/>
      <c r="AL112" s="227"/>
      <c r="AM112" s="227"/>
      <c r="AN112" s="227"/>
      <c r="AO112" s="227"/>
      <c r="AP112" s="227"/>
      <c r="AQ112" s="227"/>
      <c r="AR112" s="227"/>
      <c r="AS112" s="227"/>
      <c r="AT112" s="227"/>
      <c r="AU112" s="227"/>
      <c r="AV112" s="227"/>
      <c r="AW112" s="227"/>
      <c r="AX112" s="227"/>
      <c r="AY112" s="227"/>
      <c r="AZ112" s="227"/>
      <c r="BA112" s="227"/>
      <c r="BB112" s="227"/>
      <c r="BC112" s="227"/>
      <c r="BD112" s="227"/>
      <c r="BE112" s="227"/>
      <c r="BF112" s="227"/>
      <c r="BG112" s="227"/>
      <c r="BH112" s="227"/>
      <c r="BI112" s="227"/>
      <c r="BJ112" s="227"/>
      <c r="BK112" s="227"/>
      <c r="BL112" s="227"/>
      <c r="BM112" s="227"/>
      <c r="BN112" s="227"/>
      <c r="BO112" s="227"/>
      <c r="BP112" s="227"/>
      <c r="BQ112" s="227"/>
      <c r="BR112" s="227"/>
      <c r="BS112" s="227"/>
      <c r="BT112" s="227"/>
      <c r="BU112" s="227"/>
      <c r="BV112" s="227"/>
      <c r="BW112" s="227"/>
      <c r="BX112" s="227"/>
      <c r="BY112" s="227"/>
      <c r="BZ112" s="227"/>
      <c r="CA112" s="227"/>
      <c r="CB112" s="226"/>
      <c r="CC112" s="226"/>
      <c r="CD112" s="226"/>
      <c r="CE112" s="226"/>
      <c r="CF112" s="226"/>
      <c r="CG112" s="226"/>
      <c r="CH112" s="226"/>
      <c r="CI112" s="226"/>
      <c r="CJ112" s="226"/>
      <c r="CK112" s="226"/>
      <c r="CL112" s="226"/>
      <c r="CM112" s="226"/>
      <c r="CN112" s="226"/>
      <c r="CO112" s="226"/>
      <c r="CP112" s="226"/>
      <c r="CQ112" s="226"/>
      <c r="CR112" s="226"/>
      <c r="CS112" s="226"/>
      <c r="CT112" s="226"/>
      <c r="CU112" s="226"/>
      <c r="CV112" s="226"/>
      <c r="CW112" s="226"/>
      <c r="CX112" s="226"/>
      <c r="CY112" s="226"/>
      <c r="CZ112" s="226"/>
      <c r="DA112" s="226"/>
      <c r="DB112" s="226"/>
      <c r="DC112" s="226"/>
      <c r="DD112" s="226"/>
      <c r="DE112" s="226"/>
      <c r="DF112" s="226"/>
      <c r="DG112" s="226"/>
      <c r="DH112" s="226"/>
      <c r="DI112" s="226"/>
      <c r="DJ112" s="226"/>
      <c r="DK112" s="226"/>
      <c r="DL112" s="226"/>
      <c r="DM112" s="226"/>
      <c r="DN112" s="226"/>
      <c r="DO112" s="226"/>
      <c r="DP112" s="226"/>
      <c r="DQ112" s="226"/>
    </row>
    <row r="113" spans="3:121" s="33" customFormat="1"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4"/>
      <c r="AB113" s="35"/>
      <c r="AC113" s="34"/>
      <c r="AD113" s="34"/>
      <c r="AE113" s="34"/>
      <c r="AF113" s="227"/>
      <c r="AG113" s="227"/>
      <c r="AH113" s="227"/>
      <c r="AI113" s="227"/>
      <c r="AJ113" s="227"/>
      <c r="AK113" s="227"/>
      <c r="AL113" s="227"/>
      <c r="AM113" s="227"/>
      <c r="AN113" s="227"/>
      <c r="AO113" s="227"/>
      <c r="AP113" s="227"/>
      <c r="AQ113" s="227"/>
      <c r="AR113" s="227"/>
      <c r="AS113" s="227"/>
      <c r="AT113" s="227"/>
      <c r="AU113" s="227"/>
      <c r="AV113" s="227"/>
      <c r="AW113" s="227"/>
      <c r="AX113" s="227"/>
      <c r="AY113" s="227"/>
      <c r="AZ113" s="227"/>
      <c r="BA113" s="227"/>
      <c r="BB113" s="227"/>
      <c r="BC113" s="227"/>
      <c r="BD113" s="227"/>
      <c r="BE113" s="227"/>
      <c r="BF113" s="227"/>
      <c r="BG113" s="227"/>
      <c r="BH113" s="227"/>
      <c r="BI113" s="227"/>
      <c r="BJ113" s="227"/>
      <c r="BK113" s="227"/>
      <c r="BL113" s="227"/>
      <c r="BM113" s="227"/>
      <c r="BN113" s="227"/>
      <c r="BO113" s="227"/>
      <c r="BP113" s="227"/>
      <c r="BQ113" s="227"/>
      <c r="BR113" s="227"/>
      <c r="BS113" s="227"/>
      <c r="BT113" s="227"/>
      <c r="BU113" s="227"/>
      <c r="BV113" s="227"/>
      <c r="BW113" s="227"/>
      <c r="BX113" s="227"/>
      <c r="BY113" s="227"/>
      <c r="BZ113" s="227"/>
      <c r="CA113" s="227"/>
      <c r="CB113" s="226"/>
      <c r="CC113" s="226"/>
      <c r="CD113" s="226"/>
      <c r="CE113" s="226"/>
      <c r="CF113" s="226"/>
      <c r="CG113" s="226"/>
      <c r="CH113" s="226"/>
      <c r="CI113" s="226"/>
      <c r="CJ113" s="226"/>
      <c r="CK113" s="226"/>
      <c r="CL113" s="226"/>
      <c r="CM113" s="226"/>
      <c r="CN113" s="226"/>
      <c r="CO113" s="226"/>
      <c r="CP113" s="226"/>
      <c r="CQ113" s="226"/>
      <c r="CR113" s="226"/>
      <c r="CS113" s="226"/>
      <c r="CT113" s="226"/>
      <c r="CU113" s="226"/>
      <c r="CV113" s="226"/>
      <c r="CW113" s="226"/>
      <c r="CX113" s="226"/>
      <c r="CY113" s="226"/>
      <c r="CZ113" s="226"/>
      <c r="DA113" s="226"/>
      <c r="DB113" s="226"/>
      <c r="DC113" s="226"/>
      <c r="DD113" s="226"/>
      <c r="DE113" s="226"/>
      <c r="DF113" s="226"/>
      <c r="DG113" s="226"/>
      <c r="DH113" s="226"/>
      <c r="DI113" s="226"/>
      <c r="DJ113" s="226"/>
      <c r="DK113" s="226"/>
      <c r="DL113" s="226"/>
      <c r="DM113" s="226"/>
      <c r="DN113" s="226"/>
      <c r="DO113" s="226"/>
      <c r="DP113" s="226"/>
      <c r="DQ113" s="226"/>
    </row>
    <row r="114" spans="3:121" s="33" customFormat="1"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4"/>
      <c r="AB114" s="35"/>
      <c r="AC114" s="34"/>
      <c r="AD114" s="34"/>
      <c r="AE114" s="34"/>
      <c r="AF114" s="227"/>
      <c r="AG114" s="227"/>
      <c r="AH114" s="227"/>
      <c r="AI114" s="227"/>
      <c r="AJ114" s="227"/>
      <c r="AK114" s="227"/>
      <c r="AL114" s="227"/>
      <c r="AM114" s="227"/>
      <c r="AN114" s="227"/>
      <c r="AO114" s="227"/>
      <c r="AP114" s="227"/>
      <c r="AQ114" s="227"/>
      <c r="AR114" s="227"/>
      <c r="AS114" s="227"/>
      <c r="AT114" s="227"/>
      <c r="AU114" s="227"/>
      <c r="AV114" s="227"/>
      <c r="AW114" s="227"/>
      <c r="AX114" s="227"/>
      <c r="AY114" s="227"/>
      <c r="AZ114" s="227"/>
      <c r="BA114" s="227"/>
      <c r="BB114" s="227"/>
      <c r="BC114" s="227"/>
      <c r="BD114" s="227"/>
      <c r="BE114" s="227"/>
      <c r="BF114" s="227"/>
      <c r="BG114" s="227"/>
      <c r="BH114" s="227"/>
      <c r="BI114" s="227"/>
      <c r="BJ114" s="227"/>
      <c r="BK114" s="227"/>
      <c r="BL114" s="227"/>
      <c r="BM114" s="227"/>
      <c r="BN114" s="227"/>
      <c r="BO114" s="227"/>
      <c r="BP114" s="227"/>
      <c r="BQ114" s="227"/>
      <c r="BR114" s="227"/>
      <c r="BS114" s="227"/>
      <c r="BT114" s="227"/>
      <c r="BU114" s="227"/>
      <c r="BV114" s="227"/>
      <c r="BW114" s="227"/>
      <c r="BX114" s="227"/>
      <c r="BY114" s="227"/>
      <c r="BZ114" s="227"/>
      <c r="CA114" s="227"/>
      <c r="CB114" s="226"/>
      <c r="CC114" s="226"/>
      <c r="CD114" s="226"/>
      <c r="CE114" s="226"/>
      <c r="CF114" s="226"/>
      <c r="CG114" s="226"/>
      <c r="CH114" s="226"/>
      <c r="CI114" s="226"/>
      <c r="CJ114" s="226"/>
      <c r="CK114" s="226"/>
      <c r="CL114" s="226"/>
      <c r="CM114" s="226"/>
      <c r="CN114" s="226"/>
      <c r="CO114" s="226"/>
      <c r="CP114" s="226"/>
      <c r="CQ114" s="226"/>
      <c r="CR114" s="226"/>
      <c r="CS114" s="226"/>
      <c r="CT114" s="226"/>
      <c r="CU114" s="226"/>
      <c r="CV114" s="226"/>
      <c r="CW114" s="226"/>
      <c r="CX114" s="226"/>
      <c r="CY114" s="226"/>
      <c r="CZ114" s="226"/>
      <c r="DA114" s="226"/>
      <c r="DB114" s="226"/>
      <c r="DC114" s="226"/>
      <c r="DD114" s="226"/>
      <c r="DE114" s="226"/>
      <c r="DF114" s="226"/>
      <c r="DG114" s="226"/>
      <c r="DH114" s="226"/>
      <c r="DI114" s="226"/>
      <c r="DJ114" s="226"/>
      <c r="DK114" s="226"/>
      <c r="DL114" s="226"/>
      <c r="DM114" s="226"/>
      <c r="DN114" s="226"/>
      <c r="DO114" s="226"/>
      <c r="DP114" s="226"/>
      <c r="DQ114" s="226"/>
    </row>
    <row r="115" spans="3:121" s="33" customFormat="1"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4"/>
      <c r="AB115" s="35"/>
      <c r="AC115" s="34"/>
      <c r="AD115" s="34"/>
      <c r="AE115" s="34"/>
      <c r="AF115" s="227"/>
      <c r="AG115" s="227"/>
      <c r="AH115" s="227"/>
      <c r="AI115" s="227"/>
      <c r="AJ115" s="227"/>
      <c r="AK115" s="227"/>
      <c r="AL115" s="227"/>
      <c r="AM115" s="227"/>
      <c r="AN115" s="227"/>
      <c r="AO115" s="227"/>
      <c r="AP115" s="227"/>
      <c r="AQ115" s="227"/>
      <c r="AR115" s="227"/>
      <c r="AS115" s="227"/>
      <c r="AT115" s="227"/>
      <c r="AU115" s="227"/>
      <c r="AV115" s="227"/>
      <c r="AW115" s="227"/>
      <c r="AX115" s="227"/>
      <c r="AY115" s="227"/>
      <c r="AZ115" s="227"/>
      <c r="BA115" s="227"/>
      <c r="BB115" s="227"/>
      <c r="BC115" s="227"/>
      <c r="BD115" s="227"/>
      <c r="BE115" s="227"/>
      <c r="BF115" s="227"/>
      <c r="BG115" s="227"/>
      <c r="BH115" s="227"/>
      <c r="BI115" s="227"/>
      <c r="BJ115" s="227"/>
      <c r="BK115" s="227"/>
      <c r="BL115" s="227"/>
      <c r="BM115" s="227"/>
      <c r="BN115" s="227"/>
      <c r="BO115" s="227"/>
      <c r="BP115" s="227"/>
      <c r="BQ115" s="227"/>
      <c r="BR115" s="227"/>
      <c r="BS115" s="227"/>
      <c r="BT115" s="227"/>
      <c r="BU115" s="227"/>
      <c r="BV115" s="227"/>
      <c r="BW115" s="227"/>
      <c r="BX115" s="227"/>
      <c r="BY115" s="227"/>
      <c r="BZ115" s="227"/>
      <c r="CA115" s="227"/>
      <c r="CB115" s="226"/>
      <c r="CC115" s="226"/>
      <c r="CD115" s="226"/>
      <c r="CE115" s="226"/>
      <c r="CF115" s="226"/>
      <c r="CG115" s="226"/>
      <c r="CH115" s="226"/>
      <c r="CI115" s="226"/>
      <c r="CJ115" s="226"/>
      <c r="CK115" s="226"/>
      <c r="CL115" s="226"/>
      <c r="CM115" s="226"/>
      <c r="CN115" s="226"/>
      <c r="CO115" s="226"/>
      <c r="CP115" s="226"/>
      <c r="CQ115" s="226"/>
      <c r="CR115" s="226"/>
      <c r="CS115" s="226"/>
      <c r="CT115" s="226"/>
      <c r="CU115" s="226"/>
      <c r="CV115" s="226"/>
      <c r="CW115" s="226"/>
      <c r="CX115" s="226"/>
      <c r="CY115" s="226"/>
      <c r="CZ115" s="226"/>
      <c r="DA115" s="226"/>
      <c r="DB115" s="226"/>
      <c r="DC115" s="226"/>
      <c r="DD115" s="226"/>
      <c r="DE115" s="226"/>
      <c r="DF115" s="226"/>
      <c r="DG115" s="226"/>
      <c r="DH115" s="226"/>
      <c r="DI115" s="226"/>
      <c r="DJ115" s="226"/>
      <c r="DK115" s="226"/>
      <c r="DL115" s="226"/>
      <c r="DM115" s="226"/>
      <c r="DN115" s="226"/>
      <c r="DO115" s="226"/>
      <c r="DP115" s="226"/>
      <c r="DQ115" s="226"/>
    </row>
    <row r="116" spans="3:121" s="33" customFormat="1"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4"/>
      <c r="AB116" s="35"/>
      <c r="AC116" s="34"/>
      <c r="AD116" s="34"/>
      <c r="AE116" s="34"/>
      <c r="AF116" s="227"/>
      <c r="AG116" s="227"/>
      <c r="AH116" s="227"/>
      <c r="AI116" s="227"/>
      <c r="AJ116" s="227"/>
      <c r="AK116" s="227"/>
      <c r="AL116" s="227"/>
      <c r="AM116" s="227"/>
      <c r="AN116" s="227"/>
      <c r="AO116" s="227"/>
      <c r="AP116" s="227"/>
      <c r="AQ116" s="227"/>
      <c r="AR116" s="227"/>
      <c r="AS116" s="227"/>
      <c r="AT116" s="227"/>
      <c r="AU116" s="227"/>
      <c r="AV116" s="227"/>
      <c r="AW116" s="227"/>
      <c r="AX116" s="227"/>
      <c r="AY116" s="227"/>
      <c r="AZ116" s="227"/>
      <c r="BA116" s="227"/>
      <c r="BB116" s="227"/>
      <c r="BC116" s="227"/>
      <c r="BD116" s="227"/>
      <c r="BE116" s="227"/>
      <c r="BF116" s="227"/>
      <c r="BG116" s="227"/>
      <c r="BH116" s="227"/>
      <c r="BI116" s="227"/>
      <c r="BJ116" s="227"/>
      <c r="BK116" s="227"/>
      <c r="BL116" s="227"/>
      <c r="BM116" s="227"/>
      <c r="BN116" s="227"/>
      <c r="BO116" s="227"/>
      <c r="BP116" s="227"/>
      <c r="BQ116" s="227"/>
      <c r="BR116" s="227"/>
      <c r="BS116" s="227"/>
      <c r="BT116" s="227"/>
      <c r="BU116" s="227"/>
      <c r="BV116" s="227"/>
      <c r="BW116" s="227"/>
      <c r="BX116" s="227"/>
      <c r="BY116" s="227"/>
      <c r="BZ116" s="227"/>
      <c r="CA116" s="227"/>
      <c r="CB116" s="226"/>
      <c r="CC116" s="226"/>
      <c r="CD116" s="226"/>
      <c r="CE116" s="226"/>
      <c r="CF116" s="226"/>
      <c r="CG116" s="226"/>
      <c r="CH116" s="226"/>
      <c r="CI116" s="226"/>
      <c r="CJ116" s="226"/>
      <c r="CK116" s="226"/>
      <c r="CL116" s="226"/>
      <c r="CM116" s="226"/>
      <c r="CN116" s="226"/>
      <c r="CO116" s="226"/>
      <c r="CP116" s="226"/>
      <c r="CQ116" s="226"/>
      <c r="CR116" s="226"/>
      <c r="CS116" s="226"/>
      <c r="CT116" s="226"/>
      <c r="CU116" s="226"/>
      <c r="CV116" s="226"/>
      <c r="CW116" s="226"/>
      <c r="CX116" s="226"/>
      <c r="CY116" s="226"/>
      <c r="CZ116" s="226"/>
      <c r="DA116" s="226"/>
      <c r="DB116" s="226"/>
      <c r="DC116" s="226"/>
      <c r="DD116" s="226"/>
      <c r="DE116" s="226"/>
      <c r="DF116" s="226"/>
      <c r="DG116" s="226"/>
      <c r="DH116" s="226"/>
      <c r="DI116" s="226"/>
      <c r="DJ116" s="226"/>
      <c r="DK116" s="226"/>
      <c r="DL116" s="226"/>
      <c r="DM116" s="226"/>
      <c r="DN116" s="226"/>
      <c r="DO116" s="226"/>
      <c r="DP116" s="226"/>
      <c r="DQ116" s="226"/>
    </row>
    <row r="117" spans="3:121" s="33" customFormat="1"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4"/>
      <c r="AB117" s="35"/>
      <c r="AC117" s="34"/>
      <c r="AD117" s="34"/>
      <c r="AE117" s="34"/>
      <c r="AF117" s="227"/>
      <c r="AG117" s="227"/>
      <c r="AH117" s="227"/>
      <c r="AI117" s="227"/>
      <c r="AJ117" s="227"/>
      <c r="AK117" s="227"/>
      <c r="AL117" s="227"/>
      <c r="AM117" s="227"/>
      <c r="AN117" s="227"/>
      <c r="AO117" s="227"/>
      <c r="AP117" s="227"/>
      <c r="AQ117" s="227"/>
      <c r="AR117" s="227"/>
      <c r="AS117" s="227"/>
      <c r="AT117" s="227"/>
      <c r="AU117" s="227"/>
      <c r="AV117" s="227"/>
      <c r="AW117" s="227"/>
      <c r="AX117" s="227"/>
      <c r="AY117" s="227"/>
      <c r="AZ117" s="227"/>
      <c r="BA117" s="227"/>
      <c r="BB117" s="227"/>
      <c r="BC117" s="227"/>
      <c r="BD117" s="227"/>
      <c r="BE117" s="227"/>
      <c r="BF117" s="227"/>
      <c r="BG117" s="227"/>
      <c r="BH117" s="227"/>
      <c r="BI117" s="227"/>
      <c r="BJ117" s="227"/>
      <c r="BK117" s="227"/>
      <c r="BL117" s="227"/>
      <c r="BM117" s="227"/>
      <c r="BN117" s="227"/>
      <c r="BO117" s="227"/>
      <c r="BP117" s="227"/>
      <c r="BQ117" s="227"/>
      <c r="BR117" s="227"/>
      <c r="BS117" s="227"/>
      <c r="BT117" s="227"/>
      <c r="BU117" s="227"/>
      <c r="BV117" s="227"/>
      <c r="BW117" s="227"/>
      <c r="BX117" s="227"/>
      <c r="BY117" s="227"/>
      <c r="BZ117" s="227"/>
      <c r="CA117" s="227"/>
      <c r="CB117" s="226"/>
      <c r="CC117" s="226"/>
      <c r="CD117" s="226"/>
      <c r="CE117" s="226"/>
      <c r="CF117" s="226"/>
      <c r="CG117" s="226"/>
      <c r="CH117" s="226"/>
      <c r="CI117" s="226"/>
      <c r="CJ117" s="226"/>
      <c r="CK117" s="226"/>
      <c r="CL117" s="226"/>
      <c r="CM117" s="226"/>
      <c r="CN117" s="226"/>
      <c r="CO117" s="226"/>
      <c r="CP117" s="226"/>
      <c r="CQ117" s="226"/>
      <c r="CR117" s="226"/>
      <c r="CS117" s="226"/>
      <c r="CT117" s="226"/>
      <c r="CU117" s="226"/>
      <c r="CV117" s="226"/>
      <c r="CW117" s="226"/>
      <c r="CX117" s="226"/>
      <c r="CY117" s="226"/>
      <c r="CZ117" s="226"/>
      <c r="DA117" s="226"/>
      <c r="DB117" s="226"/>
      <c r="DC117" s="226"/>
      <c r="DD117" s="226"/>
      <c r="DE117" s="226"/>
      <c r="DF117" s="226"/>
      <c r="DG117" s="226"/>
      <c r="DH117" s="226"/>
      <c r="DI117" s="226"/>
      <c r="DJ117" s="226"/>
      <c r="DK117" s="226"/>
      <c r="DL117" s="226"/>
      <c r="DM117" s="226"/>
      <c r="DN117" s="226"/>
      <c r="DO117" s="226"/>
      <c r="DP117" s="226"/>
      <c r="DQ117" s="226"/>
    </row>
    <row r="118" spans="3:121" s="33" customFormat="1"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4"/>
      <c r="AB118" s="35"/>
      <c r="AC118" s="34"/>
      <c r="AD118" s="34"/>
      <c r="AE118" s="34"/>
      <c r="AF118" s="227"/>
      <c r="AG118" s="227"/>
      <c r="AH118" s="227"/>
      <c r="AI118" s="227"/>
      <c r="AJ118" s="227"/>
      <c r="AK118" s="227"/>
      <c r="AL118" s="227"/>
      <c r="AM118" s="227"/>
      <c r="AN118" s="227"/>
      <c r="AO118" s="227"/>
      <c r="AP118" s="227"/>
      <c r="AQ118" s="227"/>
      <c r="AR118" s="227"/>
      <c r="AS118" s="227"/>
      <c r="AT118" s="227"/>
      <c r="AU118" s="227"/>
      <c r="AV118" s="227"/>
      <c r="AW118" s="227"/>
      <c r="AX118" s="227"/>
      <c r="AY118" s="227"/>
      <c r="AZ118" s="227"/>
      <c r="BA118" s="227"/>
      <c r="BB118" s="227"/>
      <c r="BC118" s="227"/>
      <c r="BD118" s="227"/>
      <c r="BE118" s="227"/>
      <c r="BF118" s="227"/>
      <c r="BG118" s="227"/>
      <c r="BH118" s="227"/>
      <c r="BI118" s="227"/>
      <c r="BJ118" s="227"/>
      <c r="BK118" s="227"/>
      <c r="BL118" s="227"/>
      <c r="BM118" s="227"/>
      <c r="BN118" s="227"/>
      <c r="BO118" s="227"/>
      <c r="BP118" s="227"/>
      <c r="BQ118" s="227"/>
      <c r="BR118" s="227"/>
      <c r="BS118" s="227"/>
      <c r="BT118" s="227"/>
      <c r="BU118" s="227"/>
      <c r="BV118" s="227"/>
      <c r="BW118" s="227"/>
      <c r="BX118" s="227"/>
      <c r="BY118" s="227"/>
      <c r="BZ118" s="227"/>
      <c r="CA118" s="227"/>
      <c r="CB118" s="226"/>
      <c r="CC118" s="226"/>
      <c r="CD118" s="226"/>
      <c r="CE118" s="226"/>
      <c r="CF118" s="226"/>
      <c r="CG118" s="226"/>
      <c r="CH118" s="226"/>
      <c r="CI118" s="226"/>
      <c r="CJ118" s="226"/>
      <c r="CK118" s="226"/>
      <c r="CL118" s="226"/>
      <c r="CM118" s="226"/>
      <c r="CN118" s="226"/>
      <c r="CO118" s="226"/>
      <c r="CP118" s="226"/>
      <c r="CQ118" s="226"/>
      <c r="CR118" s="226"/>
      <c r="CS118" s="226"/>
      <c r="CT118" s="226"/>
      <c r="CU118" s="226"/>
      <c r="CV118" s="226"/>
      <c r="CW118" s="226"/>
      <c r="CX118" s="226"/>
      <c r="CY118" s="226"/>
      <c r="CZ118" s="226"/>
      <c r="DA118" s="226"/>
      <c r="DB118" s="226"/>
      <c r="DC118" s="226"/>
      <c r="DD118" s="226"/>
      <c r="DE118" s="226"/>
      <c r="DF118" s="226"/>
      <c r="DG118" s="226"/>
      <c r="DH118" s="226"/>
      <c r="DI118" s="226"/>
      <c r="DJ118" s="226"/>
      <c r="DK118" s="226"/>
      <c r="DL118" s="226"/>
      <c r="DM118" s="226"/>
      <c r="DN118" s="226"/>
      <c r="DO118" s="226"/>
      <c r="DP118" s="226"/>
      <c r="DQ118" s="226"/>
    </row>
    <row r="119" spans="3:121" s="33" customFormat="1"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4"/>
      <c r="AB119" s="35"/>
      <c r="AC119" s="34"/>
      <c r="AD119" s="34"/>
      <c r="AE119" s="34"/>
      <c r="AF119" s="227"/>
      <c r="AG119" s="227"/>
      <c r="AH119" s="227"/>
      <c r="AI119" s="227"/>
      <c r="AJ119" s="227"/>
      <c r="AK119" s="227"/>
      <c r="AL119" s="227"/>
      <c r="AM119" s="227"/>
      <c r="AN119" s="227"/>
      <c r="AO119" s="227"/>
      <c r="AP119" s="227"/>
      <c r="AQ119" s="227"/>
      <c r="AR119" s="227"/>
      <c r="AS119" s="227"/>
      <c r="AT119" s="227"/>
      <c r="AU119" s="227"/>
      <c r="AV119" s="227"/>
      <c r="AW119" s="227"/>
      <c r="AX119" s="227"/>
      <c r="AY119" s="227"/>
      <c r="AZ119" s="227"/>
      <c r="BA119" s="227"/>
      <c r="BB119" s="227"/>
      <c r="BC119" s="227"/>
      <c r="BD119" s="227"/>
      <c r="BE119" s="227"/>
      <c r="BF119" s="227"/>
      <c r="BG119" s="227"/>
      <c r="BH119" s="227"/>
      <c r="BI119" s="227"/>
      <c r="BJ119" s="227"/>
      <c r="BK119" s="227"/>
      <c r="BL119" s="227"/>
      <c r="BM119" s="227"/>
      <c r="BN119" s="227"/>
      <c r="BO119" s="227"/>
      <c r="BP119" s="227"/>
      <c r="BQ119" s="227"/>
      <c r="BR119" s="227"/>
      <c r="BS119" s="227"/>
      <c r="BT119" s="227"/>
      <c r="BU119" s="227"/>
      <c r="BV119" s="227"/>
      <c r="BW119" s="227"/>
      <c r="BX119" s="227"/>
      <c r="BY119" s="227"/>
      <c r="BZ119" s="227"/>
      <c r="CA119" s="227"/>
      <c r="CB119" s="226"/>
      <c r="CC119" s="226"/>
      <c r="CD119" s="226"/>
      <c r="CE119" s="226"/>
      <c r="CF119" s="226"/>
      <c r="CG119" s="226"/>
      <c r="CH119" s="226"/>
      <c r="CI119" s="226"/>
      <c r="CJ119" s="226"/>
      <c r="CK119" s="226"/>
      <c r="CL119" s="226"/>
      <c r="CM119" s="226"/>
      <c r="CN119" s="226"/>
      <c r="CO119" s="226"/>
      <c r="CP119" s="226"/>
      <c r="CQ119" s="226"/>
      <c r="CR119" s="226"/>
      <c r="CS119" s="226"/>
      <c r="CT119" s="226"/>
      <c r="CU119" s="226"/>
      <c r="CV119" s="226"/>
      <c r="CW119" s="226"/>
      <c r="CX119" s="226"/>
      <c r="CY119" s="226"/>
      <c r="CZ119" s="226"/>
      <c r="DA119" s="226"/>
      <c r="DB119" s="226"/>
      <c r="DC119" s="226"/>
      <c r="DD119" s="226"/>
      <c r="DE119" s="226"/>
      <c r="DF119" s="226"/>
      <c r="DG119" s="226"/>
      <c r="DH119" s="226"/>
      <c r="DI119" s="226"/>
      <c r="DJ119" s="226"/>
      <c r="DK119" s="226"/>
      <c r="DL119" s="226"/>
      <c r="DM119" s="226"/>
      <c r="DN119" s="226"/>
      <c r="DO119" s="226"/>
      <c r="DP119" s="226"/>
      <c r="DQ119" s="226"/>
    </row>
    <row r="120" spans="3:121" s="33" customFormat="1"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4"/>
      <c r="AB120" s="35"/>
      <c r="AC120" s="34"/>
      <c r="AD120" s="34"/>
      <c r="AE120" s="34"/>
      <c r="AF120" s="227"/>
      <c r="AG120" s="227"/>
      <c r="AH120" s="227"/>
      <c r="AI120" s="227"/>
      <c r="AJ120" s="227"/>
      <c r="AK120" s="227"/>
      <c r="AL120" s="227"/>
      <c r="AM120" s="227"/>
      <c r="AN120" s="227"/>
      <c r="AO120" s="227"/>
      <c r="AP120" s="227"/>
      <c r="AQ120" s="227"/>
      <c r="AR120" s="227"/>
      <c r="AS120" s="227"/>
      <c r="AT120" s="227"/>
      <c r="AU120" s="227"/>
      <c r="AV120" s="227"/>
      <c r="AW120" s="227"/>
      <c r="AX120" s="227"/>
      <c r="AY120" s="227"/>
      <c r="AZ120" s="227"/>
      <c r="BA120" s="227"/>
      <c r="BB120" s="227"/>
      <c r="BC120" s="227"/>
      <c r="BD120" s="227"/>
      <c r="BE120" s="227"/>
      <c r="BF120" s="227"/>
      <c r="BG120" s="227"/>
      <c r="BH120" s="227"/>
      <c r="BI120" s="227"/>
      <c r="BJ120" s="227"/>
      <c r="BK120" s="227"/>
      <c r="BL120" s="227"/>
      <c r="BM120" s="227"/>
      <c r="BN120" s="227"/>
      <c r="BO120" s="227"/>
      <c r="BP120" s="227"/>
      <c r="BQ120" s="227"/>
      <c r="BR120" s="227"/>
      <c r="BS120" s="227"/>
      <c r="BT120" s="227"/>
      <c r="BU120" s="227"/>
      <c r="BV120" s="227"/>
      <c r="BW120" s="227"/>
      <c r="BX120" s="227"/>
      <c r="BY120" s="227"/>
      <c r="BZ120" s="227"/>
      <c r="CA120" s="227"/>
      <c r="CB120" s="226"/>
      <c r="CC120" s="226"/>
      <c r="CD120" s="226"/>
      <c r="CE120" s="226"/>
      <c r="CF120" s="226"/>
      <c r="CG120" s="226"/>
      <c r="CH120" s="226"/>
      <c r="CI120" s="226"/>
      <c r="CJ120" s="226"/>
      <c r="CK120" s="226"/>
      <c r="CL120" s="226"/>
      <c r="CM120" s="226"/>
      <c r="CN120" s="226"/>
      <c r="CO120" s="226"/>
      <c r="CP120" s="226"/>
      <c r="CQ120" s="226"/>
      <c r="CR120" s="226"/>
      <c r="CS120" s="226"/>
      <c r="CT120" s="226"/>
      <c r="CU120" s="226"/>
      <c r="CV120" s="226"/>
      <c r="CW120" s="226"/>
      <c r="CX120" s="226"/>
      <c r="CY120" s="226"/>
      <c r="CZ120" s="226"/>
      <c r="DA120" s="226"/>
      <c r="DB120" s="226"/>
      <c r="DC120" s="226"/>
      <c r="DD120" s="226"/>
      <c r="DE120" s="226"/>
      <c r="DF120" s="226"/>
      <c r="DG120" s="226"/>
      <c r="DH120" s="226"/>
      <c r="DI120" s="226"/>
      <c r="DJ120" s="226"/>
      <c r="DK120" s="226"/>
      <c r="DL120" s="226"/>
      <c r="DM120" s="226"/>
      <c r="DN120" s="226"/>
      <c r="DO120" s="226"/>
      <c r="DP120" s="226"/>
      <c r="DQ120" s="226"/>
    </row>
    <row r="121" spans="3:121" s="33" customFormat="1"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4"/>
      <c r="AB121" s="35"/>
      <c r="AC121" s="34"/>
      <c r="AD121" s="34"/>
      <c r="AE121" s="34"/>
      <c r="AF121" s="227"/>
      <c r="AG121" s="227"/>
      <c r="AH121" s="227"/>
      <c r="AI121" s="227"/>
      <c r="AJ121" s="227"/>
      <c r="AK121" s="227"/>
      <c r="AL121" s="227"/>
      <c r="AM121" s="227"/>
      <c r="AN121" s="227"/>
      <c r="AO121" s="227"/>
      <c r="AP121" s="227"/>
      <c r="AQ121" s="227"/>
      <c r="AR121" s="227"/>
      <c r="AS121" s="227"/>
      <c r="AT121" s="227"/>
      <c r="AU121" s="227"/>
      <c r="AV121" s="227"/>
      <c r="AW121" s="227"/>
      <c r="AX121" s="227"/>
      <c r="AY121" s="227"/>
      <c r="AZ121" s="227"/>
      <c r="BA121" s="227"/>
      <c r="BB121" s="227"/>
      <c r="BC121" s="227"/>
      <c r="BD121" s="227"/>
      <c r="BE121" s="227"/>
      <c r="BF121" s="227"/>
      <c r="BG121" s="227"/>
      <c r="BH121" s="227"/>
      <c r="BI121" s="227"/>
      <c r="BJ121" s="227"/>
      <c r="BK121" s="227"/>
      <c r="BL121" s="227"/>
      <c r="BM121" s="227"/>
      <c r="BN121" s="227"/>
      <c r="BO121" s="227"/>
      <c r="BP121" s="227"/>
      <c r="BQ121" s="227"/>
      <c r="BR121" s="227"/>
      <c r="BS121" s="227"/>
      <c r="BT121" s="227"/>
      <c r="BU121" s="227"/>
      <c r="BV121" s="227"/>
      <c r="BW121" s="227"/>
      <c r="BX121" s="227"/>
      <c r="BY121" s="227"/>
      <c r="BZ121" s="227"/>
      <c r="CA121" s="227"/>
      <c r="CB121" s="226"/>
      <c r="CC121" s="226"/>
      <c r="CD121" s="226"/>
      <c r="CE121" s="226"/>
      <c r="CF121" s="226"/>
      <c r="CG121" s="226"/>
      <c r="CH121" s="226"/>
      <c r="CI121" s="226"/>
      <c r="CJ121" s="226"/>
      <c r="CK121" s="226"/>
      <c r="CL121" s="226"/>
      <c r="CM121" s="226"/>
      <c r="CN121" s="226"/>
      <c r="CO121" s="226"/>
      <c r="CP121" s="226"/>
      <c r="CQ121" s="226"/>
      <c r="CR121" s="226"/>
      <c r="CS121" s="226"/>
      <c r="CT121" s="226"/>
      <c r="CU121" s="226"/>
      <c r="CV121" s="226"/>
      <c r="CW121" s="226"/>
      <c r="CX121" s="226"/>
      <c r="CY121" s="226"/>
      <c r="CZ121" s="226"/>
      <c r="DA121" s="226"/>
      <c r="DB121" s="226"/>
      <c r="DC121" s="226"/>
      <c r="DD121" s="226"/>
      <c r="DE121" s="226"/>
      <c r="DF121" s="226"/>
      <c r="DG121" s="226"/>
      <c r="DH121" s="226"/>
      <c r="DI121" s="226"/>
      <c r="DJ121" s="226"/>
      <c r="DK121" s="226"/>
      <c r="DL121" s="226"/>
      <c r="DM121" s="226"/>
      <c r="DN121" s="226"/>
      <c r="DO121" s="226"/>
      <c r="DP121" s="226"/>
      <c r="DQ121" s="226"/>
    </row>
    <row r="122" spans="3:121" s="33" customFormat="1"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4"/>
      <c r="AB122" s="35"/>
      <c r="AC122" s="34"/>
      <c r="AD122" s="34"/>
      <c r="AE122" s="34"/>
      <c r="AF122" s="227"/>
      <c r="AG122" s="227"/>
      <c r="AH122" s="227"/>
      <c r="AI122" s="227"/>
      <c r="AJ122" s="227"/>
      <c r="AK122" s="227"/>
      <c r="AL122" s="227"/>
      <c r="AM122" s="227"/>
      <c r="AN122" s="227"/>
      <c r="AO122" s="227"/>
      <c r="AP122" s="227"/>
      <c r="AQ122" s="227"/>
      <c r="AR122" s="227"/>
      <c r="AS122" s="227"/>
      <c r="AT122" s="227"/>
      <c r="AU122" s="227"/>
      <c r="AV122" s="227"/>
      <c r="AW122" s="227"/>
      <c r="AX122" s="227"/>
      <c r="AY122" s="227"/>
      <c r="AZ122" s="227"/>
      <c r="BA122" s="227"/>
      <c r="BB122" s="227"/>
      <c r="BC122" s="227"/>
      <c r="BD122" s="227"/>
      <c r="BE122" s="227"/>
      <c r="BF122" s="227"/>
      <c r="BG122" s="227"/>
      <c r="BH122" s="227"/>
      <c r="BI122" s="227"/>
      <c r="BJ122" s="227"/>
      <c r="BK122" s="227"/>
      <c r="BL122" s="227"/>
      <c r="BM122" s="227"/>
      <c r="BN122" s="227"/>
      <c r="BO122" s="227"/>
      <c r="BP122" s="227"/>
      <c r="BQ122" s="227"/>
      <c r="BR122" s="227"/>
      <c r="BS122" s="227"/>
      <c r="BT122" s="227"/>
      <c r="BU122" s="227"/>
      <c r="BV122" s="227"/>
      <c r="BW122" s="227"/>
      <c r="BX122" s="227"/>
      <c r="BY122" s="227"/>
      <c r="BZ122" s="227"/>
      <c r="CA122" s="227"/>
      <c r="CB122" s="226"/>
      <c r="CC122" s="226"/>
      <c r="CD122" s="226"/>
      <c r="CE122" s="226"/>
      <c r="CF122" s="226"/>
      <c r="CG122" s="226"/>
      <c r="CH122" s="226"/>
      <c r="CI122" s="226"/>
      <c r="CJ122" s="226"/>
      <c r="CK122" s="226"/>
      <c r="CL122" s="226"/>
      <c r="CM122" s="226"/>
      <c r="CN122" s="226"/>
      <c r="CO122" s="226"/>
      <c r="CP122" s="226"/>
      <c r="CQ122" s="226"/>
      <c r="CR122" s="226"/>
      <c r="CS122" s="226"/>
      <c r="CT122" s="226"/>
      <c r="CU122" s="226"/>
      <c r="CV122" s="226"/>
      <c r="CW122" s="226"/>
      <c r="CX122" s="226"/>
      <c r="CY122" s="226"/>
      <c r="CZ122" s="226"/>
      <c r="DA122" s="226"/>
      <c r="DB122" s="226"/>
      <c r="DC122" s="226"/>
      <c r="DD122" s="226"/>
      <c r="DE122" s="226"/>
      <c r="DF122" s="226"/>
      <c r="DG122" s="226"/>
      <c r="DH122" s="226"/>
      <c r="DI122" s="226"/>
      <c r="DJ122" s="226"/>
      <c r="DK122" s="226"/>
      <c r="DL122" s="226"/>
      <c r="DM122" s="226"/>
      <c r="DN122" s="226"/>
      <c r="DO122" s="226"/>
      <c r="DP122" s="226"/>
      <c r="DQ122" s="226"/>
    </row>
    <row r="123" spans="3:121" s="33" customFormat="1"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4"/>
      <c r="AB123" s="35"/>
      <c r="AC123" s="34"/>
      <c r="AD123" s="34"/>
      <c r="AE123" s="34"/>
      <c r="AF123" s="227"/>
      <c r="AG123" s="227"/>
      <c r="AH123" s="227"/>
      <c r="AI123" s="227"/>
      <c r="AJ123" s="227"/>
      <c r="AK123" s="227"/>
      <c r="AL123" s="227"/>
      <c r="AM123" s="227"/>
      <c r="AN123" s="227"/>
      <c r="AO123" s="227"/>
      <c r="AP123" s="227"/>
      <c r="AQ123" s="227"/>
      <c r="AR123" s="227"/>
      <c r="AS123" s="227"/>
      <c r="AT123" s="227"/>
      <c r="AU123" s="227"/>
      <c r="AV123" s="227"/>
      <c r="AW123" s="227"/>
      <c r="AX123" s="227"/>
      <c r="AY123" s="227"/>
      <c r="AZ123" s="227"/>
      <c r="BA123" s="227"/>
      <c r="BB123" s="227"/>
      <c r="BC123" s="227"/>
      <c r="BD123" s="227"/>
      <c r="BE123" s="227"/>
      <c r="BF123" s="227"/>
      <c r="BG123" s="227"/>
      <c r="BH123" s="227"/>
      <c r="BI123" s="227"/>
      <c r="BJ123" s="227"/>
      <c r="BK123" s="227"/>
      <c r="BL123" s="227"/>
      <c r="BM123" s="227"/>
      <c r="BN123" s="227"/>
      <c r="BO123" s="227"/>
      <c r="BP123" s="227"/>
      <c r="BQ123" s="227"/>
      <c r="BR123" s="227"/>
      <c r="BS123" s="227"/>
      <c r="BT123" s="227"/>
      <c r="BU123" s="227"/>
      <c r="BV123" s="227"/>
      <c r="BW123" s="227"/>
      <c r="BX123" s="227"/>
      <c r="BY123" s="227"/>
      <c r="BZ123" s="227"/>
      <c r="CA123" s="227"/>
      <c r="CB123" s="226"/>
      <c r="CC123" s="226"/>
      <c r="CD123" s="226"/>
      <c r="CE123" s="226"/>
      <c r="CF123" s="226"/>
      <c r="CG123" s="226"/>
      <c r="CH123" s="226"/>
      <c r="CI123" s="226"/>
      <c r="CJ123" s="226"/>
      <c r="CK123" s="226"/>
      <c r="CL123" s="226"/>
      <c r="CM123" s="226"/>
      <c r="CN123" s="226"/>
      <c r="CO123" s="226"/>
      <c r="CP123" s="226"/>
      <c r="CQ123" s="226"/>
      <c r="CR123" s="226"/>
      <c r="CS123" s="226"/>
      <c r="CT123" s="226"/>
      <c r="CU123" s="226"/>
      <c r="CV123" s="226"/>
      <c r="CW123" s="226"/>
      <c r="CX123" s="226"/>
      <c r="CY123" s="226"/>
      <c r="CZ123" s="226"/>
      <c r="DA123" s="226"/>
      <c r="DB123" s="226"/>
      <c r="DC123" s="226"/>
      <c r="DD123" s="226"/>
      <c r="DE123" s="226"/>
      <c r="DF123" s="226"/>
      <c r="DG123" s="226"/>
      <c r="DH123" s="226"/>
      <c r="DI123" s="226"/>
      <c r="DJ123" s="226"/>
      <c r="DK123" s="226"/>
      <c r="DL123" s="226"/>
      <c r="DM123" s="226"/>
      <c r="DN123" s="226"/>
      <c r="DO123" s="226"/>
      <c r="DP123" s="226"/>
      <c r="DQ123" s="226"/>
    </row>
    <row r="124" spans="3:121" s="33" customFormat="1"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4"/>
      <c r="AB124" s="35"/>
      <c r="AC124" s="34"/>
      <c r="AD124" s="34"/>
      <c r="AE124" s="34"/>
      <c r="AF124" s="227"/>
      <c r="AG124" s="227"/>
      <c r="AH124" s="227"/>
      <c r="AI124" s="227"/>
      <c r="AJ124" s="227"/>
      <c r="AK124" s="227"/>
      <c r="AL124" s="227"/>
      <c r="AM124" s="227"/>
      <c r="AN124" s="227"/>
      <c r="AO124" s="227"/>
      <c r="AP124" s="227"/>
      <c r="AQ124" s="227"/>
      <c r="AR124" s="227"/>
      <c r="AS124" s="227"/>
      <c r="AT124" s="227"/>
      <c r="AU124" s="227"/>
      <c r="AV124" s="227"/>
      <c r="AW124" s="227"/>
      <c r="AX124" s="227"/>
      <c r="AY124" s="227"/>
      <c r="AZ124" s="227"/>
      <c r="BA124" s="227"/>
      <c r="BB124" s="227"/>
      <c r="BC124" s="227"/>
      <c r="BD124" s="227"/>
      <c r="BE124" s="227"/>
      <c r="BF124" s="227"/>
      <c r="BG124" s="227"/>
      <c r="BH124" s="227"/>
      <c r="BI124" s="227"/>
      <c r="BJ124" s="227"/>
      <c r="BK124" s="227"/>
      <c r="BL124" s="227"/>
      <c r="BM124" s="227"/>
      <c r="BN124" s="227"/>
      <c r="BO124" s="227"/>
      <c r="BP124" s="227"/>
      <c r="BQ124" s="227"/>
      <c r="BR124" s="227"/>
      <c r="BS124" s="227"/>
      <c r="BT124" s="227"/>
      <c r="BU124" s="227"/>
      <c r="BV124" s="227"/>
      <c r="BW124" s="227"/>
      <c r="BX124" s="227"/>
      <c r="BY124" s="227"/>
      <c r="BZ124" s="227"/>
      <c r="CA124" s="227"/>
      <c r="CB124" s="226"/>
      <c r="CC124" s="226"/>
      <c r="CD124" s="226"/>
      <c r="CE124" s="226"/>
      <c r="CF124" s="226"/>
      <c r="CG124" s="226"/>
      <c r="CH124" s="226"/>
      <c r="CI124" s="226"/>
      <c r="CJ124" s="226"/>
      <c r="CK124" s="226"/>
      <c r="CL124" s="226"/>
      <c r="CM124" s="226"/>
      <c r="CN124" s="226"/>
      <c r="CO124" s="226"/>
      <c r="CP124" s="226"/>
      <c r="CQ124" s="226"/>
      <c r="CR124" s="226"/>
      <c r="CS124" s="226"/>
      <c r="CT124" s="226"/>
      <c r="CU124" s="226"/>
      <c r="CV124" s="226"/>
      <c r="CW124" s="226"/>
      <c r="CX124" s="226"/>
      <c r="CY124" s="226"/>
      <c r="CZ124" s="226"/>
      <c r="DA124" s="226"/>
      <c r="DB124" s="226"/>
      <c r="DC124" s="226"/>
      <c r="DD124" s="226"/>
      <c r="DE124" s="226"/>
      <c r="DF124" s="226"/>
      <c r="DG124" s="226"/>
      <c r="DH124" s="226"/>
      <c r="DI124" s="226"/>
      <c r="DJ124" s="226"/>
      <c r="DK124" s="226"/>
      <c r="DL124" s="226"/>
      <c r="DM124" s="226"/>
      <c r="DN124" s="226"/>
      <c r="DO124" s="226"/>
      <c r="DP124" s="226"/>
      <c r="DQ124" s="226"/>
    </row>
    <row r="125" spans="3:121" s="33" customFormat="1"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4"/>
      <c r="AB125" s="35"/>
      <c r="AC125" s="34"/>
      <c r="AD125" s="34"/>
      <c r="AE125" s="34"/>
      <c r="AF125" s="227"/>
      <c r="AG125" s="227"/>
      <c r="AH125" s="227"/>
      <c r="AI125" s="227"/>
      <c r="AJ125" s="227"/>
      <c r="AK125" s="227"/>
      <c r="AL125" s="227"/>
      <c r="AM125" s="227"/>
      <c r="AN125" s="227"/>
      <c r="AO125" s="227"/>
      <c r="AP125" s="227"/>
      <c r="AQ125" s="227"/>
      <c r="AR125" s="227"/>
      <c r="AS125" s="227"/>
      <c r="AT125" s="227"/>
      <c r="AU125" s="227"/>
      <c r="AV125" s="227"/>
      <c r="AW125" s="227"/>
      <c r="AX125" s="227"/>
      <c r="AY125" s="227"/>
      <c r="AZ125" s="227"/>
      <c r="BA125" s="227"/>
      <c r="BB125" s="227"/>
      <c r="BC125" s="227"/>
      <c r="BD125" s="227"/>
      <c r="BE125" s="227"/>
      <c r="BF125" s="227"/>
      <c r="BG125" s="227"/>
      <c r="BH125" s="227"/>
      <c r="BI125" s="227"/>
      <c r="BJ125" s="227"/>
      <c r="BK125" s="227"/>
      <c r="BL125" s="227"/>
      <c r="BM125" s="227"/>
      <c r="BN125" s="227"/>
      <c r="BO125" s="227"/>
      <c r="BP125" s="227"/>
      <c r="BQ125" s="227"/>
      <c r="BR125" s="227"/>
      <c r="BS125" s="227"/>
      <c r="BT125" s="227"/>
      <c r="BU125" s="227"/>
      <c r="BV125" s="227"/>
      <c r="BW125" s="227"/>
      <c r="BX125" s="227"/>
      <c r="BY125" s="227"/>
      <c r="BZ125" s="227"/>
      <c r="CA125" s="227"/>
      <c r="CB125" s="226"/>
      <c r="CC125" s="226"/>
      <c r="CD125" s="226"/>
      <c r="CE125" s="226"/>
      <c r="CF125" s="226"/>
      <c r="CG125" s="226"/>
      <c r="CH125" s="226"/>
      <c r="CI125" s="226"/>
      <c r="CJ125" s="226"/>
      <c r="CK125" s="226"/>
      <c r="CL125" s="226"/>
      <c r="CM125" s="226"/>
      <c r="CN125" s="226"/>
      <c r="CO125" s="226"/>
      <c r="CP125" s="226"/>
      <c r="CQ125" s="226"/>
      <c r="CR125" s="226"/>
      <c r="CS125" s="226"/>
      <c r="CT125" s="226"/>
      <c r="CU125" s="226"/>
      <c r="CV125" s="226"/>
      <c r="CW125" s="226"/>
      <c r="CX125" s="226"/>
      <c r="CY125" s="226"/>
      <c r="CZ125" s="226"/>
      <c r="DA125" s="226"/>
      <c r="DB125" s="226"/>
      <c r="DC125" s="226"/>
      <c r="DD125" s="226"/>
      <c r="DE125" s="226"/>
      <c r="DF125" s="226"/>
      <c r="DG125" s="226"/>
      <c r="DH125" s="226"/>
      <c r="DI125" s="226"/>
      <c r="DJ125" s="226"/>
      <c r="DK125" s="226"/>
      <c r="DL125" s="226"/>
      <c r="DM125" s="226"/>
      <c r="DN125" s="226"/>
      <c r="DO125" s="226"/>
      <c r="DP125" s="226"/>
      <c r="DQ125" s="226"/>
    </row>
    <row r="126" spans="3:121" s="33" customFormat="1"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4"/>
      <c r="AB126" s="35"/>
      <c r="AC126" s="34"/>
      <c r="AD126" s="34"/>
      <c r="AE126" s="34"/>
      <c r="AF126" s="227"/>
      <c r="AG126" s="227"/>
      <c r="AH126" s="227"/>
      <c r="AI126" s="227"/>
      <c r="AJ126" s="227"/>
      <c r="AK126" s="227"/>
      <c r="AL126" s="227"/>
      <c r="AM126" s="227"/>
      <c r="AN126" s="227"/>
      <c r="AO126" s="227"/>
      <c r="AP126" s="227"/>
      <c r="AQ126" s="227"/>
      <c r="AR126" s="227"/>
      <c r="AS126" s="227"/>
      <c r="AT126" s="227"/>
      <c r="AU126" s="227"/>
      <c r="AV126" s="227"/>
      <c r="AW126" s="227"/>
      <c r="AX126" s="227"/>
      <c r="AY126" s="227"/>
      <c r="AZ126" s="227"/>
      <c r="BA126" s="227"/>
      <c r="BB126" s="227"/>
      <c r="BC126" s="227"/>
      <c r="BD126" s="227"/>
      <c r="BE126" s="227"/>
      <c r="BF126" s="227"/>
      <c r="BG126" s="227"/>
      <c r="BH126" s="227"/>
      <c r="BI126" s="227"/>
      <c r="BJ126" s="227"/>
      <c r="BK126" s="227"/>
      <c r="BL126" s="227"/>
      <c r="BM126" s="227"/>
      <c r="BN126" s="227"/>
      <c r="BO126" s="227"/>
      <c r="BP126" s="227"/>
      <c r="BQ126" s="227"/>
      <c r="BR126" s="227"/>
      <c r="BS126" s="227"/>
      <c r="BT126" s="227"/>
      <c r="BU126" s="227"/>
      <c r="BV126" s="227"/>
      <c r="BW126" s="227"/>
      <c r="BX126" s="227"/>
      <c r="BY126" s="227"/>
      <c r="BZ126" s="227"/>
      <c r="CA126" s="227"/>
      <c r="CB126" s="226"/>
      <c r="CC126" s="226"/>
      <c r="CD126" s="226"/>
      <c r="CE126" s="226"/>
      <c r="CF126" s="226"/>
      <c r="CG126" s="226"/>
      <c r="CH126" s="226"/>
      <c r="CI126" s="226"/>
      <c r="CJ126" s="226"/>
      <c r="CK126" s="226"/>
      <c r="CL126" s="226"/>
      <c r="CM126" s="226"/>
      <c r="CN126" s="226"/>
      <c r="CO126" s="226"/>
      <c r="CP126" s="226"/>
      <c r="CQ126" s="226"/>
      <c r="CR126" s="226"/>
      <c r="CS126" s="226"/>
      <c r="CT126" s="226"/>
      <c r="CU126" s="226"/>
      <c r="CV126" s="226"/>
      <c r="CW126" s="226"/>
      <c r="CX126" s="226"/>
      <c r="CY126" s="226"/>
      <c r="CZ126" s="226"/>
      <c r="DA126" s="226"/>
      <c r="DB126" s="226"/>
      <c r="DC126" s="226"/>
      <c r="DD126" s="226"/>
      <c r="DE126" s="226"/>
      <c r="DF126" s="226"/>
      <c r="DG126" s="226"/>
      <c r="DH126" s="226"/>
      <c r="DI126" s="226"/>
      <c r="DJ126" s="226"/>
      <c r="DK126" s="226"/>
      <c r="DL126" s="226"/>
      <c r="DM126" s="226"/>
      <c r="DN126" s="226"/>
      <c r="DO126" s="226"/>
      <c r="DP126" s="226"/>
      <c r="DQ126" s="226"/>
    </row>
    <row r="127" spans="3:121" s="33" customFormat="1"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4"/>
      <c r="AB127" s="35"/>
      <c r="AC127" s="34"/>
      <c r="AD127" s="34"/>
      <c r="AE127" s="34"/>
      <c r="AF127" s="227"/>
      <c r="AG127" s="227"/>
      <c r="AH127" s="227"/>
      <c r="AI127" s="227"/>
      <c r="AJ127" s="227"/>
      <c r="AK127" s="227"/>
      <c r="AL127" s="227"/>
      <c r="AM127" s="227"/>
      <c r="AN127" s="227"/>
      <c r="AO127" s="227"/>
      <c r="AP127" s="227"/>
      <c r="AQ127" s="227"/>
      <c r="AR127" s="227"/>
      <c r="AS127" s="227"/>
      <c r="AT127" s="227"/>
      <c r="AU127" s="227"/>
      <c r="AV127" s="227"/>
      <c r="AW127" s="227"/>
      <c r="AX127" s="227"/>
      <c r="AY127" s="227"/>
      <c r="AZ127" s="227"/>
      <c r="BA127" s="227"/>
      <c r="BB127" s="227"/>
      <c r="BC127" s="227"/>
      <c r="BD127" s="227"/>
      <c r="BE127" s="227"/>
      <c r="BF127" s="227"/>
      <c r="BG127" s="227"/>
      <c r="BH127" s="227"/>
      <c r="BI127" s="227"/>
      <c r="BJ127" s="227"/>
      <c r="BK127" s="227"/>
      <c r="BL127" s="227"/>
      <c r="BM127" s="227"/>
      <c r="BN127" s="227"/>
      <c r="BO127" s="227"/>
      <c r="BP127" s="227"/>
      <c r="BQ127" s="227"/>
      <c r="BR127" s="227"/>
      <c r="BS127" s="227"/>
      <c r="BT127" s="227"/>
      <c r="BU127" s="227"/>
      <c r="BV127" s="227"/>
      <c r="BW127" s="227"/>
      <c r="BX127" s="227"/>
      <c r="BY127" s="227"/>
      <c r="BZ127" s="227"/>
      <c r="CA127" s="227"/>
      <c r="CB127" s="226"/>
      <c r="CC127" s="226"/>
      <c r="CD127" s="226"/>
      <c r="CE127" s="226"/>
      <c r="CF127" s="226"/>
      <c r="CG127" s="226"/>
      <c r="CH127" s="226"/>
      <c r="CI127" s="226"/>
      <c r="CJ127" s="226"/>
      <c r="CK127" s="226"/>
      <c r="CL127" s="226"/>
      <c r="CM127" s="226"/>
      <c r="CN127" s="226"/>
      <c r="CO127" s="226"/>
      <c r="CP127" s="226"/>
      <c r="CQ127" s="226"/>
      <c r="CR127" s="226"/>
      <c r="CS127" s="226"/>
      <c r="CT127" s="226"/>
      <c r="CU127" s="226"/>
      <c r="CV127" s="226"/>
      <c r="CW127" s="226"/>
      <c r="CX127" s="226"/>
      <c r="CY127" s="226"/>
      <c r="CZ127" s="226"/>
      <c r="DA127" s="226"/>
      <c r="DB127" s="226"/>
      <c r="DC127" s="226"/>
      <c r="DD127" s="226"/>
      <c r="DE127" s="226"/>
      <c r="DF127" s="226"/>
      <c r="DG127" s="226"/>
      <c r="DH127" s="226"/>
      <c r="DI127" s="226"/>
      <c r="DJ127" s="226"/>
      <c r="DK127" s="226"/>
      <c r="DL127" s="226"/>
      <c r="DM127" s="226"/>
      <c r="DN127" s="226"/>
      <c r="DO127" s="226"/>
      <c r="DP127" s="226"/>
      <c r="DQ127" s="226"/>
    </row>
    <row r="128" spans="3:121" s="33" customFormat="1"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4"/>
      <c r="AB128" s="35"/>
      <c r="AC128" s="34"/>
      <c r="AD128" s="34"/>
      <c r="AE128" s="34"/>
      <c r="AF128" s="227"/>
      <c r="AG128" s="227"/>
      <c r="AH128" s="227"/>
      <c r="AI128" s="227"/>
      <c r="AJ128" s="227"/>
      <c r="AK128" s="227"/>
      <c r="AL128" s="227"/>
      <c r="AM128" s="227"/>
      <c r="AN128" s="227"/>
      <c r="AO128" s="227"/>
      <c r="AP128" s="227"/>
      <c r="AQ128" s="227"/>
      <c r="AR128" s="227"/>
      <c r="AS128" s="227"/>
      <c r="AT128" s="227"/>
      <c r="AU128" s="227"/>
      <c r="AV128" s="227"/>
      <c r="AW128" s="227"/>
      <c r="AX128" s="227"/>
      <c r="AY128" s="227"/>
      <c r="AZ128" s="227"/>
      <c r="BA128" s="227"/>
      <c r="BB128" s="227"/>
      <c r="BC128" s="227"/>
      <c r="BD128" s="227"/>
      <c r="BE128" s="227"/>
      <c r="BF128" s="227"/>
      <c r="BG128" s="227"/>
      <c r="BH128" s="227"/>
      <c r="BI128" s="227"/>
      <c r="BJ128" s="227"/>
      <c r="BK128" s="227"/>
      <c r="BL128" s="227"/>
      <c r="BM128" s="227"/>
      <c r="BN128" s="227"/>
      <c r="BO128" s="227"/>
      <c r="BP128" s="227"/>
      <c r="BQ128" s="227"/>
      <c r="BR128" s="227"/>
      <c r="BS128" s="227"/>
      <c r="BT128" s="227"/>
      <c r="BU128" s="227"/>
      <c r="BV128" s="227"/>
      <c r="BW128" s="227"/>
      <c r="BX128" s="227"/>
      <c r="BY128" s="227"/>
      <c r="BZ128" s="227"/>
      <c r="CA128" s="227"/>
      <c r="CB128" s="226"/>
      <c r="CC128" s="226"/>
      <c r="CD128" s="226"/>
      <c r="CE128" s="226"/>
      <c r="CF128" s="226"/>
      <c r="CG128" s="226"/>
      <c r="CH128" s="226"/>
      <c r="CI128" s="226"/>
      <c r="CJ128" s="226"/>
      <c r="CK128" s="226"/>
      <c r="CL128" s="226"/>
      <c r="CM128" s="226"/>
      <c r="CN128" s="226"/>
      <c r="CO128" s="226"/>
      <c r="CP128" s="226"/>
      <c r="CQ128" s="226"/>
      <c r="CR128" s="226"/>
      <c r="CS128" s="226"/>
      <c r="CT128" s="226"/>
      <c r="CU128" s="226"/>
      <c r="CV128" s="226"/>
      <c r="CW128" s="226"/>
      <c r="CX128" s="226"/>
      <c r="CY128" s="226"/>
      <c r="CZ128" s="226"/>
      <c r="DA128" s="226"/>
      <c r="DB128" s="226"/>
      <c r="DC128" s="226"/>
      <c r="DD128" s="226"/>
      <c r="DE128" s="226"/>
      <c r="DF128" s="226"/>
      <c r="DG128" s="226"/>
      <c r="DH128" s="226"/>
      <c r="DI128" s="226"/>
      <c r="DJ128" s="226"/>
      <c r="DK128" s="226"/>
      <c r="DL128" s="226"/>
      <c r="DM128" s="226"/>
      <c r="DN128" s="226"/>
      <c r="DO128" s="226"/>
      <c r="DP128" s="226"/>
      <c r="DQ128" s="226"/>
    </row>
    <row r="129" spans="3:121" s="33" customFormat="1"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4"/>
      <c r="AB129" s="35"/>
      <c r="AC129" s="34"/>
      <c r="AD129" s="34"/>
      <c r="AE129" s="34"/>
      <c r="AF129" s="227"/>
      <c r="AG129" s="227"/>
      <c r="AH129" s="227"/>
      <c r="AI129" s="227"/>
      <c r="AJ129" s="227"/>
      <c r="AK129" s="227"/>
      <c r="AL129" s="227"/>
      <c r="AM129" s="227"/>
      <c r="AN129" s="227"/>
      <c r="AO129" s="227"/>
      <c r="AP129" s="227"/>
      <c r="AQ129" s="227"/>
      <c r="AR129" s="227"/>
      <c r="AS129" s="227"/>
      <c r="AT129" s="227"/>
      <c r="AU129" s="227"/>
      <c r="AV129" s="227"/>
      <c r="AW129" s="227"/>
      <c r="AX129" s="227"/>
      <c r="AY129" s="227"/>
      <c r="AZ129" s="227"/>
      <c r="BA129" s="227"/>
      <c r="BB129" s="227"/>
      <c r="BC129" s="227"/>
      <c r="BD129" s="227"/>
      <c r="BE129" s="227"/>
      <c r="BF129" s="227"/>
      <c r="BG129" s="227"/>
      <c r="BH129" s="227"/>
      <c r="BI129" s="227"/>
      <c r="BJ129" s="227"/>
      <c r="BK129" s="227"/>
      <c r="BL129" s="227"/>
      <c r="BM129" s="227"/>
      <c r="BN129" s="227"/>
      <c r="BO129" s="227"/>
      <c r="BP129" s="227"/>
      <c r="BQ129" s="227"/>
      <c r="BR129" s="227"/>
      <c r="BS129" s="227"/>
      <c r="BT129" s="227"/>
      <c r="BU129" s="227"/>
      <c r="BV129" s="227"/>
      <c r="BW129" s="227"/>
      <c r="BX129" s="227"/>
      <c r="BY129" s="227"/>
      <c r="BZ129" s="227"/>
      <c r="CA129" s="227"/>
      <c r="CB129" s="226"/>
      <c r="CC129" s="226"/>
      <c r="CD129" s="226"/>
      <c r="CE129" s="226"/>
      <c r="CF129" s="226"/>
      <c r="CG129" s="226"/>
      <c r="CH129" s="226"/>
      <c r="CI129" s="226"/>
      <c r="CJ129" s="226"/>
      <c r="CK129" s="226"/>
      <c r="CL129" s="226"/>
      <c r="CM129" s="226"/>
      <c r="CN129" s="226"/>
      <c r="CO129" s="226"/>
      <c r="CP129" s="226"/>
      <c r="CQ129" s="226"/>
      <c r="CR129" s="226"/>
      <c r="CS129" s="226"/>
      <c r="CT129" s="226"/>
      <c r="CU129" s="226"/>
      <c r="CV129" s="226"/>
      <c r="CW129" s="226"/>
      <c r="CX129" s="226"/>
      <c r="CY129" s="226"/>
      <c r="CZ129" s="226"/>
      <c r="DA129" s="226"/>
      <c r="DB129" s="226"/>
      <c r="DC129" s="226"/>
      <c r="DD129" s="226"/>
      <c r="DE129" s="226"/>
      <c r="DF129" s="226"/>
      <c r="DG129" s="226"/>
      <c r="DH129" s="226"/>
      <c r="DI129" s="226"/>
      <c r="DJ129" s="226"/>
      <c r="DK129" s="226"/>
      <c r="DL129" s="226"/>
      <c r="DM129" s="226"/>
      <c r="DN129" s="226"/>
      <c r="DO129" s="226"/>
      <c r="DP129" s="226"/>
      <c r="DQ129" s="226"/>
    </row>
    <row r="130" spans="3:121" s="33" customFormat="1"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4"/>
      <c r="AB130" s="35"/>
      <c r="AC130" s="34"/>
      <c r="AD130" s="34"/>
      <c r="AE130" s="34"/>
      <c r="AF130" s="227"/>
      <c r="AG130" s="227"/>
      <c r="AH130" s="227"/>
      <c r="AI130" s="227"/>
      <c r="AJ130" s="227"/>
      <c r="AK130" s="227"/>
      <c r="AL130" s="227"/>
      <c r="AM130" s="227"/>
      <c r="AN130" s="227"/>
      <c r="AO130" s="227"/>
      <c r="AP130" s="227"/>
      <c r="AQ130" s="227"/>
      <c r="AR130" s="227"/>
      <c r="AS130" s="227"/>
      <c r="AT130" s="227"/>
      <c r="AU130" s="227"/>
      <c r="AV130" s="227"/>
      <c r="AW130" s="227"/>
      <c r="AX130" s="227"/>
      <c r="AY130" s="227"/>
      <c r="AZ130" s="227"/>
      <c r="BA130" s="227"/>
      <c r="BB130" s="227"/>
      <c r="BC130" s="227"/>
      <c r="BD130" s="227"/>
      <c r="BE130" s="227"/>
      <c r="BF130" s="227"/>
      <c r="BG130" s="227"/>
      <c r="BH130" s="227"/>
      <c r="BI130" s="227"/>
      <c r="BJ130" s="227"/>
      <c r="BK130" s="227"/>
      <c r="BL130" s="227"/>
      <c r="BM130" s="227"/>
      <c r="BN130" s="227"/>
      <c r="BO130" s="227"/>
      <c r="BP130" s="227"/>
      <c r="BQ130" s="227"/>
      <c r="BR130" s="227"/>
      <c r="BS130" s="227"/>
      <c r="BT130" s="227"/>
      <c r="BU130" s="227"/>
      <c r="BV130" s="227"/>
      <c r="BW130" s="227"/>
      <c r="BX130" s="227"/>
      <c r="BY130" s="227"/>
      <c r="BZ130" s="227"/>
      <c r="CA130" s="227"/>
      <c r="CB130" s="226"/>
      <c r="CC130" s="226"/>
      <c r="CD130" s="226"/>
      <c r="CE130" s="226"/>
      <c r="CF130" s="226"/>
      <c r="CG130" s="226"/>
      <c r="CH130" s="226"/>
      <c r="CI130" s="226"/>
      <c r="CJ130" s="226"/>
      <c r="CK130" s="226"/>
      <c r="CL130" s="226"/>
      <c r="CM130" s="226"/>
      <c r="CN130" s="226"/>
      <c r="CO130" s="226"/>
      <c r="CP130" s="226"/>
      <c r="CQ130" s="226"/>
      <c r="CR130" s="226"/>
      <c r="CS130" s="226"/>
      <c r="CT130" s="226"/>
      <c r="CU130" s="226"/>
      <c r="CV130" s="226"/>
      <c r="CW130" s="226"/>
      <c r="CX130" s="226"/>
      <c r="CY130" s="226"/>
      <c r="CZ130" s="226"/>
      <c r="DA130" s="226"/>
      <c r="DB130" s="226"/>
      <c r="DC130" s="226"/>
      <c r="DD130" s="226"/>
      <c r="DE130" s="226"/>
      <c r="DF130" s="226"/>
      <c r="DG130" s="226"/>
      <c r="DH130" s="226"/>
      <c r="DI130" s="226"/>
      <c r="DJ130" s="226"/>
      <c r="DK130" s="226"/>
      <c r="DL130" s="226"/>
      <c r="DM130" s="226"/>
      <c r="DN130" s="226"/>
      <c r="DO130" s="226"/>
      <c r="DP130" s="226"/>
      <c r="DQ130" s="226"/>
    </row>
    <row r="131" spans="3:121" s="33" customFormat="1"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4"/>
      <c r="AB131" s="35"/>
      <c r="AC131" s="34"/>
      <c r="AD131" s="34"/>
      <c r="AE131" s="34"/>
      <c r="AF131" s="227"/>
      <c r="AG131" s="227"/>
      <c r="AH131" s="227"/>
      <c r="AI131" s="227"/>
      <c r="AJ131" s="227"/>
      <c r="AK131" s="227"/>
      <c r="AL131" s="227"/>
      <c r="AM131" s="227"/>
      <c r="AN131" s="227"/>
      <c r="AO131" s="227"/>
      <c r="AP131" s="227"/>
      <c r="AQ131" s="227"/>
      <c r="AR131" s="227"/>
      <c r="AS131" s="227"/>
      <c r="AT131" s="227"/>
      <c r="AU131" s="227"/>
      <c r="AV131" s="227"/>
      <c r="AW131" s="227"/>
      <c r="AX131" s="227"/>
      <c r="AY131" s="227"/>
      <c r="AZ131" s="227"/>
      <c r="BA131" s="227"/>
      <c r="BB131" s="227"/>
      <c r="BC131" s="227"/>
      <c r="BD131" s="227"/>
      <c r="BE131" s="227"/>
      <c r="BF131" s="227"/>
      <c r="BG131" s="227"/>
      <c r="BH131" s="227"/>
      <c r="BI131" s="227"/>
      <c r="BJ131" s="227"/>
      <c r="BK131" s="227"/>
      <c r="BL131" s="227"/>
      <c r="BM131" s="227"/>
      <c r="BN131" s="227"/>
      <c r="BO131" s="227"/>
      <c r="BP131" s="227"/>
      <c r="BQ131" s="227"/>
      <c r="BR131" s="227"/>
      <c r="BS131" s="227"/>
      <c r="BT131" s="227"/>
      <c r="BU131" s="227"/>
      <c r="BV131" s="227"/>
      <c r="BW131" s="227"/>
      <c r="BX131" s="227"/>
      <c r="BY131" s="227"/>
      <c r="BZ131" s="227"/>
      <c r="CA131" s="227"/>
      <c r="CB131" s="226"/>
      <c r="CC131" s="226"/>
      <c r="CD131" s="226"/>
      <c r="CE131" s="226"/>
      <c r="CF131" s="226"/>
      <c r="CG131" s="226"/>
      <c r="CH131" s="226"/>
      <c r="CI131" s="226"/>
      <c r="CJ131" s="226"/>
      <c r="CK131" s="226"/>
      <c r="CL131" s="226"/>
      <c r="CM131" s="226"/>
      <c r="CN131" s="226"/>
      <c r="CO131" s="226"/>
      <c r="CP131" s="226"/>
      <c r="CQ131" s="226"/>
      <c r="CR131" s="226"/>
      <c r="CS131" s="226"/>
      <c r="CT131" s="226"/>
      <c r="CU131" s="226"/>
      <c r="CV131" s="226"/>
      <c r="CW131" s="226"/>
      <c r="CX131" s="226"/>
      <c r="CY131" s="226"/>
      <c r="CZ131" s="226"/>
      <c r="DA131" s="226"/>
      <c r="DB131" s="226"/>
      <c r="DC131" s="226"/>
      <c r="DD131" s="226"/>
      <c r="DE131" s="226"/>
      <c r="DF131" s="226"/>
      <c r="DG131" s="226"/>
      <c r="DH131" s="226"/>
      <c r="DI131" s="226"/>
      <c r="DJ131" s="226"/>
      <c r="DK131" s="226"/>
      <c r="DL131" s="226"/>
      <c r="DM131" s="226"/>
      <c r="DN131" s="226"/>
      <c r="DO131" s="226"/>
      <c r="DP131" s="226"/>
      <c r="DQ131" s="226"/>
    </row>
    <row r="132" spans="3:121" s="33" customFormat="1"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4"/>
      <c r="AB132" s="35"/>
      <c r="AC132" s="34"/>
      <c r="AD132" s="34"/>
      <c r="AE132" s="34"/>
      <c r="AF132" s="227"/>
      <c r="AG132" s="227"/>
      <c r="AH132" s="227"/>
      <c r="AI132" s="227"/>
      <c r="AJ132" s="227"/>
      <c r="AK132" s="227"/>
      <c r="AL132" s="227"/>
      <c r="AM132" s="227"/>
      <c r="AN132" s="227"/>
      <c r="AO132" s="227"/>
      <c r="AP132" s="227"/>
      <c r="AQ132" s="227"/>
      <c r="AR132" s="227"/>
      <c r="AS132" s="227"/>
      <c r="AT132" s="227"/>
      <c r="AU132" s="227"/>
      <c r="AV132" s="227"/>
      <c r="AW132" s="227"/>
      <c r="AX132" s="227"/>
      <c r="AY132" s="227"/>
      <c r="AZ132" s="227"/>
      <c r="BA132" s="227"/>
      <c r="BB132" s="227"/>
      <c r="BC132" s="227"/>
      <c r="BD132" s="227"/>
      <c r="BE132" s="227"/>
      <c r="BF132" s="227"/>
      <c r="BG132" s="227"/>
      <c r="BH132" s="227"/>
      <c r="BI132" s="227"/>
      <c r="BJ132" s="227"/>
      <c r="BK132" s="227"/>
      <c r="BL132" s="227"/>
      <c r="BM132" s="227"/>
      <c r="BN132" s="227"/>
      <c r="BO132" s="227"/>
      <c r="BP132" s="227"/>
      <c r="BQ132" s="227"/>
      <c r="BR132" s="227"/>
      <c r="BS132" s="227"/>
      <c r="BT132" s="227"/>
      <c r="BU132" s="227"/>
      <c r="BV132" s="227"/>
      <c r="BW132" s="227"/>
      <c r="BX132" s="227"/>
      <c r="BY132" s="227"/>
      <c r="BZ132" s="227"/>
      <c r="CA132" s="227"/>
      <c r="CB132" s="226"/>
      <c r="CC132" s="226"/>
      <c r="CD132" s="226"/>
      <c r="CE132" s="226"/>
      <c r="CF132" s="226"/>
      <c r="CG132" s="226"/>
      <c r="CH132" s="226"/>
      <c r="CI132" s="226"/>
      <c r="CJ132" s="226"/>
      <c r="CK132" s="226"/>
      <c r="CL132" s="226"/>
      <c r="CM132" s="226"/>
      <c r="CN132" s="226"/>
      <c r="CO132" s="226"/>
      <c r="CP132" s="226"/>
      <c r="CQ132" s="226"/>
      <c r="CR132" s="226"/>
      <c r="CS132" s="226"/>
      <c r="CT132" s="226"/>
      <c r="CU132" s="226"/>
      <c r="CV132" s="226"/>
      <c r="CW132" s="226"/>
      <c r="CX132" s="226"/>
      <c r="CY132" s="226"/>
      <c r="CZ132" s="226"/>
      <c r="DA132" s="226"/>
      <c r="DB132" s="226"/>
      <c r="DC132" s="226"/>
      <c r="DD132" s="226"/>
      <c r="DE132" s="226"/>
      <c r="DF132" s="226"/>
      <c r="DG132" s="226"/>
      <c r="DH132" s="226"/>
      <c r="DI132" s="226"/>
      <c r="DJ132" s="226"/>
      <c r="DK132" s="226"/>
      <c r="DL132" s="226"/>
      <c r="DM132" s="226"/>
      <c r="DN132" s="226"/>
      <c r="DO132" s="226"/>
      <c r="DP132" s="226"/>
      <c r="DQ132" s="226"/>
    </row>
    <row r="133" spans="3:121" s="33" customFormat="1"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4"/>
      <c r="AB133" s="35"/>
      <c r="AC133" s="34"/>
      <c r="AD133" s="34"/>
      <c r="AE133" s="34"/>
      <c r="AF133" s="227"/>
      <c r="AG133" s="227"/>
      <c r="AH133" s="227"/>
      <c r="AI133" s="227"/>
      <c r="AJ133" s="227"/>
      <c r="AK133" s="227"/>
      <c r="AL133" s="227"/>
      <c r="AM133" s="227"/>
      <c r="AN133" s="227"/>
      <c r="AO133" s="227"/>
      <c r="AP133" s="227"/>
      <c r="AQ133" s="227"/>
      <c r="AR133" s="227"/>
      <c r="AS133" s="227"/>
      <c r="AT133" s="227"/>
      <c r="AU133" s="227"/>
      <c r="AV133" s="227"/>
      <c r="AW133" s="227"/>
      <c r="AX133" s="227"/>
      <c r="AY133" s="227"/>
      <c r="AZ133" s="227"/>
      <c r="BA133" s="227"/>
      <c r="BB133" s="227"/>
      <c r="BC133" s="227"/>
      <c r="BD133" s="227"/>
      <c r="BE133" s="227"/>
      <c r="BF133" s="227"/>
      <c r="BG133" s="227"/>
      <c r="BH133" s="227"/>
      <c r="BI133" s="227"/>
      <c r="BJ133" s="227"/>
      <c r="BK133" s="227"/>
      <c r="BL133" s="227"/>
      <c r="BM133" s="227"/>
      <c r="BN133" s="227"/>
      <c r="BO133" s="227"/>
      <c r="BP133" s="227"/>
      <c r="BQ133" s="227"/>
      <c r="BR133" s="227"/>
      <c r="BS133" s="227"/>
      <c r="BT133" s="227"/>
      <c r="BU133" s="227"/>
      <c r="BV133" s="227"/>
      <c r="BW133" s="227"/>
      <c r="BX133" s="227"/>
      <c r="BY133" s="227"/>
      <c r="BZ133" s="227"/>
      <c r="CA133" s="227"/>
      <c r="CB133" s="226"/>
      <c r="CC133" s="226"/>
      <c r="CD133" s="226"/>
      <c r="CE133" s="226"/>
      <c r="CF133" s="226"/>
      <c r="CG133" s="226"/>
      <c r="CH133" s="226"/>
      <c r="CI133" s="226"/>
      <c r="CJ133" s="226"/>
      <c r="CK133" s="226"/>
      <c r="CL133" s="226"/>
      <c r="CM133" s="226"/>
      <c r="CN133" s="226"/>
      <c r="CO133" s="226"/>
      <c r="CP133" s="226"/>
      <c r="CQ133" s="226"/>
      <c r="CR133" s="226"/>
      <c r="CS133" s="226"/>
      <c r="CT133" s="226"/>
      <c r="CU133" s="226"/>
      <c r="CV133" s="226"/>
      <c r="CW133" s="226"/>
      <c r="CX133" s="226"/>
      <c r="CY133" s="226"/>
      <c r="CZ133" s="226"/>
      <c r="DA133" s="226"/>
      <c r="DB133" s="226"/>
      <c r="DC133" s="226"/>
      <c r="DD133" s="226"/>
      <c r="DE133" s="226"/>
      <c r="DF133" s="226"/>
      <c r="DG133" s="226"/>
      <c r="DH133" s="226"/>
      <c r="DI133" s="226"/>
      <c r="DJ133" s="226"/>
      <c r="DK133" s="226"/>
      <c r="DL133" s="226"/>
      <c r="DM133" s="226"/>
      <c r="DN133" s="226"/>
      <c r="DO133" s="226"/>
      <c r="DP133" s="226"/>
      <c r="DQ133" s="226"/>
    </row>
    <row r="134" spans="3:121" s="33" customFormat="1"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4"/>
      <c r="AB134" s="35"/>
      <c r="AC134" s="34"/>
      <c r="AD134" s="34"/>
      <c r="AE134" s="34"/>
      <c r="AF134" s="227"/>
      <c r="AG134" s="227"/>
      <c r="AH134" s="227"/>
      <c r="AI134" s="227"/>
      <c r="AJ134" s="227"/>
      <c r="AK134" s="227"/>
      <c r="AL134" s="227"/>
      <c r="AM134" s="227"/>
      <c r="AN134" s="227"/>
      <c r="AO134" s="227"/>
      <c r="AP134" s="227"/>
      <c r="AQ134" s="227"/>
      <c r="AR134" s="227"/>
      <c r="AS134" s="227"/>
      <c r="AT134" s="227"/>
      <c r="AU134" s="227"/>
      <c r="AV134" s="227"/>
      <c r="AW134" s="227"/>
      <c r="AX134" s="227"/>
      <c r="AY134" s="227"/>
      <c r="AZ134" s="227"/>
      <c r="BA134" s="227"/>
      <c r="BB134" s="227"/>
      <c r="BC134" s="227"/>
      <c r="BD134" s="227"/>
      <c r="BE134" s="227"/>
      <c r="BF134" s="227"/>
      <c r="BG134" s="227"/>
      <c r="BH134" s="227"/>
      <c r="BI134" s="227"/>
      <c r="BJ134" s="227"/>
      <c r="BK134" s="227"/>
      <c r="BL134" s="227"/>
      <c r="BM134" s="227"/>
      <c r="BN134" s="227"/>
      <c r="BO134" s="227"/>
      <c r="BP134" s="227"/>
      <c r="BQ134" s="227"/>
      <c r="BR134" s="227"/>
      <c r="BS134" s="227"/>
      <c r="BT134" s="227"/>
      <c r="BU134" s="227"/>
      <c r="BV134" s="227"/>
      <c r="BW134" s="227"/>
      <c r="BX134" s="227"/>
      <c r="BY134" s="227"/>
      <c r="BZ134" s="227"/>
      <c r="CA134" s="227"/>
      <c r="CB134" s="226"/>
      <c r="CC134" s="226"/>
      <c r="CD134" s="226"/>
      <c r="CE134" s="226"/>
      <c r="CF134" s="226"/>
      <c r="CG134" s="226"/>
      <c r="CH134" s="226"/>
      <c r="CI134" s="226"/>
      <c r="CJ134" s="226"/>
      <c r="CK134" s="226"/>
      <c r="CL134" s="226"/>
      <c r="CM134" s="226"/>
      <c r="CN134" s="226"/>
      <c r="CO134" s="226"/>
      <c r="CP134" s="226"/>
      <c r="CQ134" s="226"/>
      <c r="CR134" s="226"/>
      <c r="CS134" s="226"/>
      <c r="CT134" s="226"/>
      <c r="CU134" s="226"/>
      <c r="CV134" s="226"/>
      <c r="CW134" s="226"/>
      <c r="CX134" s="226"/>
      <c r="CY134" s="226"/>
      <c r="CZ134" s="226"/>
      <c r="DA134" s="226"/>
      <c r="DB134" s="226"/>
      <c r="DC134" s="226"/>
      <c r="DD134" s="226"/>
      <c r="DE134" s="226"/>
      <c r="DF134" s="226"/>
      <c r="DG134" s="226"/>
      <c r="DH134" s="226"/>
      <c r="DI134" s="226"/>
      <c r="DJ134" s="226"/>
      <c r="DK134" s="226"/>
      <c r="DL134" s="226"/>
      <c r="DM134" s="226"/>
      <c r="DN134" s="226"/>
      <c r="DO134" s="226"/>
      <c r="DP134" s="226"/>
      <c r="DQ134" s="226"/>
    </row>
    <row r="135" spans="3:121" s="33" customFormat="1"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4"/>
      <c r="AB135" s="35"/>
      <c r="AC135" s="34"/>
      <c r="AD135" s="34"/>
      <c r="AE135" s="34"/>
      <c r="AF135" s="227"/>
      <c r="AG135" s="227"/>
      <c r="AH135" s="227"/>
      <c r="AI135" s="227"/>
      <c r="AJ135" s="227"/>
      <c r="AK135" s="227"/>
      <c r="AL135" s="227"/>
      <c r="AM135" s="227"/>
      <c r="AN135" s="227"/>
      <c r="AO135" s="227"/>
      <c r="AP135" s="227"/>
      <c r="AQ135" s="227"/>
      <c r="AR135" s="227"/>
      <c r="AS135" s="227"/>
      <c r="AT135" s="227"/>
      <c r="AU135" s="227"/>
      <c r="AV135" s="227"/>
      <c r="AW135" s="227"/>
      <c r="AX135" s="227"/>
      <c r="AY135" s="227"/>
      <c r="AZ135" s="227"/>
      <c r="BA135" s="227"/>
      <c r="BB135" s="227"/>
      <c r="BC135" s="227"/>
      <c r="BD135" s="227"/>
      <c r="BE135" s="227"/>
      <c r="BF135" s="227"/>
      <c r="BG135" s="227"/>
      <c r="BH135" s="227"/>
      <c r="BI135" s="227"/>
      <c r="BJ135" s="227"/>
      <c r="BK135" s="227"/>
      <c r="BL135" s="227"/>
      <c r="BM135" s="227"/>
      <c r="BN135" s="227"/>
      <c r="BO135" s="227"/>
      <c r="BP135" s="227"/>
      <c r="BQ135" s="227"/>
      <c r="BR135" s="227"/>
      <c r="BS135" s="227"/>
      <c r="BT135" s="227"/>
      <c r="BU135" s="227"/>
      <c r="BV135" s="227"/>
      <c r="BW135" s="227"/>
      <c r="BX135" s="227"/>
      <c r="BY135" s="227"/>
      <c r="BZ135" s="227"/>
      <c r="CA135" s="227"/>
      <c r="CB135" s="226"/>
      <c r="CC135" s="226"/>
      <c r="CD135" s="226"/>
      <c r="CE135" s="226"/>
      <c r="CF135" s="226"/>
      <c r="CG135" s="226"/>
      <c r="CH135" s="226"/>
      <c r="CI135" s="226"/>
      <c r="CJ135" s="226"/>
      <c r="CK135" s="226"/>
      <c r="CL135" s="226"/>
      <c r="CM135" s="226"/>
      <c r="CN135" s="226"/>
      <c r="CO135" s="226"/>
      <c r="CP135" s="226"/>
      <c r="CQ135" s="226"/>
      <c r="CR135" s="226"/>
      <c r="CS135" s="226"/>
      <c r="CT135" s="226"/>
      <c r="CU135" s="226"/>
      <c r="CV135" s="226"/>
      <c r="CW135" s="226"/>
      <c r="CX135" s="226"/>
      <c r="CY135" s="226"/>
      <c r="CZ135" s="226"/>
      <c r="DA135" s="226"/>
      <c r="DB135" s="226"/>
      <c r="DC135" s="226"/>
      <c r="DD135" s="226"/>
      <c r="DE135" s="226"/>
      <c r="DF135" s="226"/>
      <c r="DG135" s="226"/>
      <c r="DH135" s="226"/>
      <c r="DI135" s="226"/>
      <c r="DJ135" s="226"/>
      <c r="DK135" s="226"/>
      <c r="DL135" s="226"/>
      <c r="DM135" s="226"/>
      <c r="DN135" s="226"/>
      <c r="DO135" s="226"/>
      <c r="DP135" s="226"/>
      <c r="DQ135" s="226"/>
    </row>
    <row r="136" spans="3:121" s="33" customFormat="1"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4"/>
      <c r="AB136" s="35"/>
      <c r="AC136" s="34"/>
      <c r="AD136" s="34"/>
      <c r="AE136" s="34"/>
      <c r="AF136" s="227"/>
      <c r="AG136" s="227"/>
      <c r="AH136" s="227"/>
      <c r="AI136" s="227"/>
      <c r="AJ136" s="227"/>
      <c r="AK136" s="227"/>
      <c r="AL136" s="227"/>
      <c r="AM136" s="227"/>
      <c r="AN136" s="227"/>
      <c r="AO136" s="227"/>
      <c r="AP136" s="227"/>
      <c r="AQ136" s="227"/>
      <c r="AR136" s="227"/>
      <c r="AS136" s="227"/>
      <c r="AT136" s="227"/>
      <c r="AU136" s="227"/>
      <c r="AV136" s="227"/>
      <c r="AW136" s="227"/>
      <c r="AX136" s="227"/>
      <c r="AY136" s="227"/>
      <c r="AZ136" s="227"/>
      <c r="BA136" s="227"/>
      <c r="BB136" s="227"/>
      <c r="BC136" s="227"/>
      <c r="BD136" s="227"/>
      <c r="BE136" s="227"/>
      <c r="BF136" s="227"/>
      <c r="BG136" s="227"/>
      <c r="BH136" s="227"/>
      <c r="BI136" s="227"/>
      <c r="BJ136" s="227"/>
      <c r="BK136" s="227"/>
      <c r="BL136" s="227"/>
      <c r="BM136" s="227"/>
      <c r="BN136" s="227"/>
      <c r="BO136" s="227"/>
      <c r="BP136" s="227"/>
      <c r="BQ136" s="227"/>
      <c r="BR136" s="227"/>
      <c r="BS136" s="227"/>
      <c r="BT136" s="227"/>
      <c r="BU136" s="227"/>
      <c r="BV136" s="227"/>
      <c r="BW136" s="227"/>
      <c r="BX136" s="227"/>
      <c r="BY136" s="227"/>
      <c r="BZ136" s="227"/>
      <c r="CA136" s="227"/>
      <c r="CB136" s="226"/>
      <c r="CC136" s="226"/>
      <c r="CD136" s="226"/>
      <c r="CE136" s="226"/>
      <c r="CF136" s="226"/>
      <c r="CG136" s="226"/>
      <c r="CH136" s="226"/>
      <c r="CI136" s="226"/>
      <c r="CJ136" s="226"/>
      <c r="CK136" s="226"/>
      <c r="CL136" s="226"/>
      <c r="CM136" s="226"/>
      <c r="CN136" s="226"/>
      <c r="CO136" s="226"/>
      <c r="CP136" s="226"/>
      <c r="CQ136" s="226"/>
      <c r="CR136" s="226"/>
      <c r="CS136" s="226"/>
      <c r="CT136" s="226"/>
      <c r="CU136" s="226"/>
      <c r="CV136" s="226"/>
      <c r="CW136" s="226"/>
      <c r="CX136" s="226"/>
      <c r="CY136" s="226"/>
      <c r="CZ136" s="226"/>
      <c r="DA136" s="226"/>
      <c r="DB136" s="226"/>
      <c r="DC136" s="226"/>
      <c r="DD136" s="226"/>
      <c r="DE136" s="226"/>
      <c r="DF136" s="226"/>
      <c r="DG136" s="226"/>
      <c r="DH136" s="226"/>
      <c r="DI136" s="226"/>
      <c r="DJ136" s="226"/>
      <c r="DK136" s="226"/>
      <c r="DL136" s="226"/>
      <c r="DM136" s="226"/>
      <c r="DN136" s="226"/>
      <c r="DO136" s="226"/>
      <c r="DP136" s="226"/>
      <c r="DQ136" s="226"/>
    </row>
    <row r="137" spans="3:121" s="33" customFormat="1"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4"/>
      <c r="AB137" s="35"/>
      <c r="AC137" s="34"/>
      <c r="AD137" s="34"/>
      <c r="AE137" s="34"/>
      <c r="AF137" s="227"/>
      <c r="AG137" s="227"/>
      <c r="AH137" s="227"/>
      <c r="AI137" s="227"/>
      <c r="AJ137" s="227"/>
      <c r="AK137" s="227"/>
      <c r="AL137" s="227"/>
      <c r="AM137" s="227"/>
      <c r="AN137" s="227"/>
      <c r="AO137" s="227"/>
      <c r="AP137" s="227"/>
      <c r="AQ137" s="227"/>
      <c r="AR137" s="227"/>
      <c r="AS137" s="227"/>
      <c r="AT137" s="227"/>
      <c r="AU137" s="227"/>
      <c r="AV137" s="227"/>
      <c r="AW137" s="227"/>
      <c r="AX137" s="227"/>
      <c r="AY137" s="227"/>
      <c r="AZ137" s="227"/>
      <c r="BA137" s="227"/>
      <c r="BB137" s="227"/>
      <c r="BC137" s="227"/>
      <c r="BD137" s="227"/>
      <c r="BE137" s="227"/>
      <c r="BF137" s="227"/>
      <c r="BG137" s="227"/>
      <c r="BH137" s="227"/>
      <c r="BI137" s="227"/>
      <c r="BJ137" s="227"/>
      <c r="BK137" s="227"/>
      <c r="BL137" s="227"/>
      <c r="BM137" s="227"/>
      <c r="BN137" s="227"/>
      <c r="BO137" s="227"/>
      <c r="BP137" s="227"/>
      <c r="BQ137" s="227"/>
      <c r="BR137" s="227"/>
      <c r="BS137" s="227"/>
      <c r="BT137" s="227"/>
      <c r="BU137" s="227"/>
      <c r="BV137" s="227"/>
      <c r="BW137" s="227"/>
      <c r="BX137" s="227"/>
      <c r="BY137" s="227"/>
      <c r="BZ137" s="227"/>
      <c r="CA137" s="227"/>
      <c r="CB137" s="226"/>
      <c r="CC137" s="226"/>
      <c r="CD137" s="226"/>
      <c r="CE137" s="226"/>
      <c r="CF137" s="226"/>
      <c r="CG137" s="226"/>
      <c r="CH137" s="226"/>
      <c r="CI137" s="226"/>
      <c r="CJ137" s="226"/>
      <c r="CK137" s="226"/>
      <c r="CL137" s="226"/>
      <c r="CM137" s="226"/>
      <c r="CN137" s="226"/>
      <c r="CO137" s="226"/>
      <c r="CP137" s="226"/>
      <c r="CQ137" s="226"/>
      <c r="CR137" s="226"/>
      <c r="CS137" s="226"/>
      <c r="CT137" s="226"/>
      <c r="CU137" s="226"/>
      <c r="CV137" s="226"/>
      <c r="CW137" s="226"/>
      <c r="CX137" s="226"/>
      <c r="CY137" s="226"/>
      <c r="CZ137" s="226"/>
      <c r="DA137" s="226"/>
      <c r="DB137" s="226"/>
      <c r="DC137" s="226"/>
      <c r="DD137" s="226"/>
      <c r="DE137" s="226"/>
      <c r="DF137" s="226"/>
      <c r="DG137" s="226"/>
      <c r="DH137" s="226"/>
      <c r="DI137" s="226"/>
      <c r="DJ137" s="226"/>
      <c r="DK137" s="226"/>
      <c r="DL137" s="226"/>
      <c r="DM137" s="226"/>
      <c r="DN137" s="226"/>
      <c r="DO137" s="226"/>
      <c r="DP137" s="226"/>
      <c r="DQ137" s="226"/>
    </row>
    <row r="138" spans="3:121" s="33" customFormat="1"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4"/>
      <c r="AB138" s="35"/>
      <c r="AC138" s="34"/>
      <c r="AD138" s="34"/>
      <c r="AE138" s="34"/>
      <c r="AF138" s="227"/>
      <c r="AG138" s="227"/>
      <c r="AH138" s="227"/>
      <c r="AI138" s="227"/>
      <c r="AJ138" s="227"/>
      <c r="AK138" s="227"/>
      <c r="AL138" s="227"/>
      <c r="AM138" s="227"/>
      <c r="AN138" s="227"/>
      <c r="AO138" s="227"/>
      <c r="AP138" s="227"/>
      <c r="AQ138" s="227"/>
      <c r="AR138" s="227"/>
      <c r="AS138" s="227"/>
      <c r="AT138" s="227"/>
      <c r="AU138" s="227"/>
      <c r="AV138" s="227"/>
      <c r="AW138" s="227"/>
      <c r="AX138" s="227"/>
      <c r="AY138" s="227"/>
      <c r="AZ138" s="227"/>
      <c r="BA138" s="227"/>
      <c r="BB138" s="227"/>
      <c r="BC138" s="227"/>
      <c r="BD138" s="227"/>
      <c r="BE138" s="227"/>
      <c r="BF138" s="227"/>
      <c r="BG138" s="227"/>
      <c r="BH138" s="227"/>
      <c r="BI138" s="227"/>
      <c r="BJ138" s="227"/>
      <c r="BK138" s="227"/>
      <c r="BL138" s="227"/>
      <c r="BM138" s="227"/>
      <c r="BN138" s="227"/>
      <c r="BO138" s="227"/>
      <c r="BP138" s="227"/>
      <c r="BQ138" s="227"/>
      <c r="BR138" s="227"/>
      <c r="BS138" s="227"/>
      <c r="BT138" s="227"/>
      <c r="BU138" s="227"/>
      <c r="BV138" s="227"/>
      <c r="BW138" s="227"/>
      <c r="BX138" s="227"/>
      <c r="BY138" s="227"/>
      <c r="BZ138" s="227"/>
      <c r="CA138" s="227"/>
      <c r="CB138" s="226"/>
      <c r="CC138" s="226"/>
      <c r="CD138" s="226"/>
      <c r="CE138" s="226"/>
      <c r="CF138" s="226"/>
      <c r="CG138" s="226"/>
      <c r="CH138" s="226"/>
      <c r="CI138" s="226"/>
      <c r="CJ138" s="226"/>
      <c r="CK138" s="226"/>
      <c r="CL138" s="226"/>
      <c r="CM138" s="226"/>
      <c r="CN138" s="226"/>
      <c r="CO138" s="226"/>
      <c r="CP138" s="226"/>
      <c r="CQ138" s="226"/>
      <c r="CR138" s="226"/>
      <c r="CS138" s="226"/>
      <c r="CT138" s="226"/>
      <c r="CU138" s="226"/>
      <c r="CV138" s="226"/>
      <c r="CW138" s="226"/>
      <c r="CX138" s="226"/>
      <c r="CY138" s="226"/>
      <c r="CZ138" s="226"/>
      <c r="DA138" s="226"/>
      <c r="DB138" s="226"/>
      <c r="DC138" s="226"/>
      <c r="DD138" s="226"/>
      <c r="DE138" s="226"/>
      <c r="DF138" s="226"/>
      <c r="DG138" s="226"/>
      <c r="DH138" s="226"/>
      <c r="DI138" s="226"/>
      <c r="DJ138" s="226"/>
      <c r="DK138" s="226"/>
      <c r="DL138" s="226"/>
      <c r="DM138" s="226"/>
      <c r="DN138" s="226"/>
      <c r="DO138" s="226"/>
      <c r="DP138" s="226"/>
      <c r="DQ138" s="226"/>
    </row>
    <row r="139" spans="3:121" s="33" customFormat="1"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4"/>
      <c r="AB139" s="35"/>
      <c r="AC139" s="34"/>
      <c r="AD139" s="34"/>
      <c r="AE139" s="34"/>
      <c r="AF139" s="227"/>
      <c r="AG139" s="227"/>
      <c r="AH139" s="227"/>
      <c r="AI139" s="227"/>
      <c r="AJ139" s="227"/>
      <c r="AK139" s="227"/>
      <c r="AL139" s="227"/>
      <c r="AM139" s="227"/>
      <c r="AN139" s="227"/>
      <c r="AO139" s="227"/>
      <c r="AP139" s="227"/>
      <c r="AQ139" s="227"/>
      <c r="AR139" s="227"/>
      <c r="AS139" s="227"/>
      <c r="AT139" s="227"/>
      <c r="AU139" s="227"/>
      <c r="AV139" s="227"/>
      <c r="AW139" s="227"/>
      <c r="AX139" s="227"/>
      <c r="AY139" s="227"/>
      <c r="AZ139" s="227"/>
      <c r="BA139" s="227"/>
      <c r="BB139" s="227"/>
      <c r="BC139" s="227"/>
      <c r="BD139" s="227"/>
      <c r="BE139" s="227"/>
      <c r="BF139" s="227"/>
      <c r="BG139" s="227"/>
      <c r="BH139" s="227"/>
      <c r="BI139" s="227"/>
      <c r="BJ139" s="227"/>
      <c r="BK139" s="227"/>
      <c r="BL139" s="227"/>
      <c r="BM139" s="227"/>
      <c r="BN139" s="227"/>
      <c r="BO139" s="227"/>
      <c r="BP139" s="227"/>
      <c r="BQ139" s="227"/>
      <c r="BR139" s="227"/>
      <c r="BS139" s="227"/>
      <c r="BT139" s="227"/>
      <c r="BU139" s="227"/>
      <c r="BV139" s="227"/>
      <c r="BW139" s="227"/>
      <c r="BX139" s="227"/>
      <c r="BY139" s="227"/>
      <c r="BZ139" s="227"/>
      <c r="CA139" s="227"/>
      <c r="CB139" s="226"/>
      <c r="CC139" s="226"/>
      <c r="CD139" s="226"/>
      <c r="CE139" s="226"/>
      <c r="CF139" s="226"/>
      <c r="CG139" s="226"/>
      <c r="CH139" s="226"/>
      <c r="CI139" s="226"/>
      <c r="CJ139" s="226"/>
      <c r="CK139" s="226"/>
      <c r="CL139" s="226"/>
      <c r="CM139" s="226"/>
      <c r="CN139" s="226"/>
      <c r="CO139" s="226"/>
      <c r="CP139" s="226"/>
      <c r="CQ139" s="226"/>
      <c r="CR139" s="226"/>
      <c r="CS139" s="226"/>
      <c r="CT139" s="226"/>
      <c r="CU139" s="226"/>
      <c r="CV139" s="226"/>
      <c r="CW139" s="226"/>
      <c r="CX139" s="226"/>
      <c r="CY139" s="226"/>
      <c r="CZ139" s="226"/>
      <c r="DA139" s="226"/>
      <c r="DB139" s="226"/>
      <c r="DC139" s="226"/>
      <c r="DD139" s="226"/>
      <c r="DE139" s="226"/>
      <c r="DF139" s="226"/>
      <c r="DG139" s="226"/>
      <c r="DH139" s="226"/>
      <c r="DI139" s="226"/>
      <c r="DJ139" s="226"/>
      <c r="DK139" s="226"/>
      <c r="DL139" s="226"/>
      <c r="DM139" s="226"/>
      <c r="DN139" s="226"/>
      <c r="DO139" s="226"/>
      <c r="DP139" s="226"/>
      <c r="DQ139" s="226"/>
    </row>
    <row r="140" spans="3:121" s="33" customFormat="1"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4"/>
      <c r="AB140" s="35"/>
      <c r="AC140" s="34"/>
      <c r="AD140" s="34"/>
      <c r="AE140" s="34"/>
      <c r="AF140" s="227"/>
      <c r="AG140" s="227"/>
      <c r="AH140" s="227"/>
      <c r="AI140" s="227"/>
      <c r="AJ140" s="227"/>
      <c r="AK140" s="227"/>
      <c r="AL140" s="227"/>
      <c r="AM140" s="227"/>
      <c r="AN140" s="227"/>
      <c r="AO140" s="227"/>
      <c r="AP140" s="227"/>
      <c r="AQ140" s="227"/>
      <c r="AR140" s="227"/>
      <c r="AS140" s="227"/>
      <c r="AT140" s="227"/>
      <c r="AU140" s="227"/>
      <c r="AV140" s="227"/>
      <c r="AW140" s="227"/>
      <c r="AX140" s="227"/>
      <c r="AY140" s="227"/>
      <c r="AZ140" s="227"/>
      <c r="BA140" s="227"/>
      <c r="BB140" s="227"/>
      <c r="BC140" s="227"/>
      <c r="BD140" s="227"/>
      <c r="BE140" s="227"/>
      <c r="BF140" s="227"/>
      <c r="BG140" s="227"/>
      <c r="BH140" s="227"/>
      <c r="BI140" s="227"/>
      <c r="BJ140" s="227"/>
      <c r="BK140" s="227"/>
      <c r="BL140" s="227"/>
      <c r="BM140" s="227"/>
      <c r="BN140" s="227"/>
      <c r="BO140" s="227"/>
      <c r="BP140" s="227"/>
      <c r="BQ140" s="227"/>
      <c r="BR140" s="227"/>
      <c r="BS140" s="227"/>
      <c r="BT140" s="227"/>
      <c r="BU140" s="227"/>
      <c r="BV140" s="227"/>
      <c r="BW140" s="227"/>
      <c r="BX140" s="227"/>
      <c r="BY140" s="227"/>
      <c r="BZ140" s="227"/>
      <c r="CA140" s="227"/>
      <c r="CB140" s="226"/>
      <c r="CC140" s="226"/>
      <c r="CD140" s="226"/>
      <c r="CE140" s="226"/>
      <c r="CF140" s="226"/>
      <c r="CG140" s="226"/>
      <c r="CH140" s="226"/>
      <c r="CI140" s="226"/>
      <c r="CJ140" s="226"/>
      <c r="CK140" s="226"/>
      <c r="CL140" s="226"/>
      <c r="CM140" s="226"/>
      <c r="CN140" s="226"/>
      <c r="CO140" s="226"/>
      <c r="CP140" s="226"/>
      <c r="CQ140" s="226"/>
      <c r="CR140" s="226"/>
      <c r="CS140" s="226"/>
      <c r="CT140" s="226"/>
      <c r="CU140" s="226"/>
      <c r="CV140" s="226"/>
      <c r="CW140" s="226"/>
      <c r="CX140" s="226"/>
      <c r="CY140" s="226"/>
      <c r="CZ140" s="226"/>
      <c r="DA140" s="226"/>
      <c r="DB140" s="226"/>
      <c r="DC140" s="226"/>
      <c r="DD140" s="226"/>
      <c r="DE140" s="226"/>
      <c r="DF140" s="226"/>
      <c r="DG140" s="226"/>
      <c r="DH140" s="226"/>
      <c r="DI140" s="226"/>
      <c r="DJ140" s="226"/>
      <c r="DK140" s="226"/>
      <c r="DL140" s="226"/>
      <c r="DM140" s="226"/>
      <c r="DN140" s="226"/>
      <c r="DO140" s="226"/>
      <c r="DP140" s="226"/>
      <c r="DQ140" s="226"/>
    </row>
    <row r="141" spans="3:121">
      <c r="AF141" s="227"/>
      <c r="AG141" s="227"/>
      <c r="AH141" s="227"/>
      <c r="AI141" s="227"/>
      <c r="AJ141" s="227"/>
      <c r="AK141" s="227"/>
      <c r="AL141" s="227"/>
      <c r="AM141" s="227"/>
      <c r="AN141" s="227"/>
      <c r="AO141" s="227"/>
      <c r="AP141" s="227"/>
      <c r="AQ141" s="227"/>
      <c r="AR141" s="227"/>
      <c r="AS141" s="227"/>
      <c r="AT141" s="227"/>
      <c r="AU141" s="227"/>
      <c r="AV141" s="227"/>
      <c r="AW141" s="227"/>
      <c r="AX141" s="227"/>
      <c r="AY141" s="227"/>
      <c r="AZ141" s="227"/>
      <c r="BA141" s="227"/>
      <c r="BB141" s="227"/>
      <c r="BC141" s="227"/>
      <c r="BD141" s="227"/>
      <c r="BE141" s="227"/>
      <c r="BF141" s="227"/>
      <c r="BG141" s="227"/>
      <c r="BH141" s="227"/>
      <c r="BI141" s="227"/>
      <c r="BJ141" s="227"/>
      <c r="BK141" s="227"/>
      <c r="BL141" s="227"/>
      <c r="BM141" s="227"/>
      <c r="BN141" s="227"/>
      <c r="BO141" s="227"/>
      <c r="BP141" s="227"/>
      <c r="BQ141" s="227"/>
      <c r="BR141" s="227"/>
      <c r="BS141" s="227"/>
      <c r="BT141" s="227"/>
      <c r="BU141" s="227"/>
      <c r="BV141" s="227"/>
      <c r="BW141" s="227"/>
      <c r="BX141" s="227"/>
      <c r="BY141" s="227"/>
      <c r="BZ141" s="227"/>
      <c r="CA141" s="227"/>
      <c r="CB141" s="226"/>
      <c r="CC141" s="226"/>
      <c r="CD141" s="226"/>
      <c r="CE141" s="226"/>
      <c r="CF141" s="226"/>
      <c r="CG141" s="226"/>
      <c r="CH141" s="226"/>
      <c r="CI141" s="226"/>
      <c r="CJ141" s="226"/>
      <c r="CK141" s="226"/>
      <c r="CL141" s="226"/>
      <c r="CM141" s="226"/>
      <c r="CN141" s="226"/>
      <c r="CO141" s="226"/>
      <c r="CP141" s="226"/>
      <c r="CQ141" s="226"/>
      <c r="CR141" s="226"/>
      <c r="CS141" s="226"/>
      <c r="CT141" s="226"/>
      <c r="CU141" s="226"/>
      <c r="CV141" s="226"/>
      <c r="CW141" s="226"/>
      <c r="CX141" s="226"/>
      <c r="CY141" s="226"/>
      <c r="CZ141" s="226"/>
      <c r="DA141" s="226"/>
      <c r="DB141" s="226"/>
      <c r="DC141" s="226"/>
      <c r="DD141" s="226"/>
      <c r="DE141" s="226"/>
      <c r="DF141" s="226"/>
      <c r="DG141" s="226"/>
      <c r="DH141" s="226"/>
      <c r="DI141" s="226"/>
      <c r="DJ141" s="226"/>
      <c r="DK141" s="226"/>
      <c r="DL141" s="226"/>
      <c r="DM141" s="226"/>
      <c r="DN141" s="226"/>
      <c r="DO141" s="226"/>
      <c r="DP141" s="226"/>
      <c r="DQ141" s="226"/>
    </row>
    <row r="142" spans="3:121">
      <c r="AF142" s="227"/>
      <c r="AG142" s="227"/>
      <c r="AH142" s="227"/>
      <c r="AI142" s="227"/>
      <c r="AJ142" s="227"/>
      <c r="AK142" s="227"/>
      <c r="AL142" s="227"/>
      <c r="AM142" s="227"/>
      <c r="AN142" s="227"/>
      <c r="AO142" s="227"/>
      <c r="AP142" s="227"/>
      <c r="AQ142" s="227"/>
      <c r="AR142" s="227"/>
      <c r="AS142" s="227"/>
      <c r="AT142" s="227"/>
      <c r="AU142" s="227"/>
      <c r="AV142" s="227"/>
      <c r="AW142" s="227"/>
      <c r="AX142" s="227"/>
      <c r="AY142" s="227"/>
      <c r="AZ142" s="227"/>
      <c r="BA142" s="227"/>
      <c r="BB142" s="227"/>
      <c r="BC142" s="227"/>
      <c r="BD142" s="227"/>
      <c r="BE142" s="227"/>
      <c r="BF142" s="227"/>
      <c r="BG142" s="227"/>
      <c r="BH142" s="227"/>
      <c r="BI142" s="227"/>
      <c r="BJ142" s="227"/>
      <c r="BK142" s="227"/>
      <c r="BL142" s="227"/>
      <c r="BM142" s="227"/>
      <c r="BN142" s="227"/>
      <c r="BO142" s="227"/>
      <c r="BP142" s="227"/>
      <c r="BQ142" s="227"/>
      <c r="BR142" s="227"/>
      <c r="BS142" s="227"/>
      <c r="BT142" s="227"/>
      <c r="BU142" s="227"/>
      <c r="BV142" s="227"/>
      <c r="BW142" s="227"/>
      <c r="BX142" s="227"/>
      <c r="BY142" s="227"/>
      <c r="BZ142" s="227"/>
      <c r="CA142" s="227"/>
      <c r="CB142" s="226"/>
      <c r="CC142" s="226"/>
      <c r="CD142" s="226"/>
      <c r="CE142" s="226"/>
      <c r="CF142" s="226"/>
      <c r="CG142" s="226"/>
      <c r="CH142" s="226"/>
      <c r="CI142" s="226"/>
      <c r="CJ142" s="226"/>
      <c r="CK142" s="226"/>
      <c r="CL142" s="226"/>
      <c r="CM142" s="226"/>
      <c r="CN142" s="226"/>
      <c r="CO142" s="226"/>
      <c r="CP142" s="226"/>
      <c r="CQ142" s="226"/>
      <c r="CR142" s="226"/>
      <c r="CS142" s="226"/>
      <c r="CT142" s="226"/>
      <c r="CU142" s="226"/>
      <c r="CV142" s="226"/>
      <c r="CW142" s="226"/>
      <c r="CX142" s="226"/>
      <c r="CY142" s="226"/>
      <c r="CZ142" s="226"/>
      <c r="DA142" s="226"/>
      <c r="DB142" s="226"/>
      <c r="DC142" s="226"/>
      <c r="DD142" s="226"/>
      <c r="DE142" s="226"/>
      <c r="DF142" s="226"/>
      <c r="DG142" s="226"/>
      <c r="DH142" s="226"/>
      <c r="DI142" s="226"/>
      <c r="DJ142" s="226"/>
      <c r="DK142" s="226"/>
      <c r="DL142" s="226"/>
      <c r="DM142" s="226"/>
      <c r="DN142" s="226"/>
      <c r="DO142" s="226"/>
      <c r="DP142" s="226"/>
      <c r="DQ142" s="226"/>
    </row>
    <row r="143" spans="3:121">
      <c r="AF143" s="227"/>
      <c r="AG143" s="227"/>
      <c r="AH143" s="227"/>
      <c r="AI143" s="227"/>
      <c r="AJ143" s="227"/>
      <c r="AK143" s="227"/>
      <c r="AL143" s="227"/>
      <c r="AM143" s="227"/>
      <c r="AN143" s="227"/>
      <c r="AO143" s="227"/>
      <c r="AP143" s="227"/>
      <c r="AQ143" s="227"/>
      <c r="AR143" s="227"/>
      <c r="AS143" s="227"/>
      <c r="AT143" s="227"/>
      <c r="AU143" s="227"/>
      <c r="AV143" s="227"/>
      <c r="AW143" s="227"/>
      <c r="AX143" s="227"/>
      <c r="AY143" s="227"/>
      <c r="AZ143" s="227"/>
      <c r="BA143" s="227"/>
      <c r="BB143" s="227"/>
      <c r="BC143" s="227"/>
      <c r="BD143" s="227"/>
      <c r="BE143" s="227"/>
      <c r="BF143" s="227"/>
      <c r="BG143" s="227"/>
      <c r="BH143" s="227"/>
      <c r="BI143" s="227"/>
      <c r="BJ143" s="227"/>
      <c r="BK143" s="227"/>
      <c r="BL143" s="227"/>
      <c r="BM143" s="227"/>
      <c r="BN143" s="227"/>
      <c r="BO143" s="227"/>
      <c r="BP143" s="227"/>
      <c r="BQ143" s="227"/>
      <c r="BR143" s="227"/>
      <c r="BS143" s="227"/>
      <c r="BT143" s="227"/>
      <c r="BU143" s="227"/>
      <c r="BV143" s="227"/>
      <c r="BW143" s="227"/>
      <c r="BX143" s="227"/>
      <c r="BY143" s="227"/>
      <c r="BZ143" s="227"/>
      <c r="CA143" s="227"/>
      <c r="CB143" s="226"/>
      <c r="CC143" s="226"/>
      <c r="CD143" s="226"/>
      <c r="CE143" s="226"/>
      <c r="CF143" s="226"/>
      <c r="CG143" s="226"/>
      <c r="CH143" s="226"/>
      <c r="CI143" s="226"/>
      <c r="CJ143" s="226"/>
      <c r="CK143" s="226"/>
      <c r="CL143" s="226"/>
      <c r="CM143" s="226"/>
      <c r="CN143" s="226"/>
      <c r="CO143" s="226"/>
      <c r="CP143" s="226"/>
      <c r="CQ143" s="226"/>
      <c r="CR143" s="226"/>
      <c r="CS143" s="226"/>
      <c r="CT143" s="226"/>
      <c r="CU143" s="226"/>
      <c r="CV143" s="226"/>
      <c r="CW143" s="226"/>
      <c r="CX143" s="226"/>
      <c r="CY143" s="226"/>
      <c r="CZ143" s="226"/>
      <c r="DA143" s="226"/>
      <c r="DB143" s="226"/>
      <c r="DC143" s="226"/>
      <c r="DD143" s="226"/>
      <c r="DE143" s="226"/>
      <c r="DF143" s="226"/>
      <c r="DG143" s="226"/>
      <c r="DH143" s="226"/>
      <c r="DI143" s="226"/>
      <c r="DJ143" s="226"/>
      <c r="DK143" s="226"/>
      <c r="DL143" s="226"/>
      <c r="DM143" s="226"/>
      <c r="DN143" s="226"/>
      <c r="DO143" s="226"/>
      <c r="DP143" s="226"/>
      <c r="DQ143" s="226"/>
    </row>
    <row r="144" spans="3:121">
      <c r="AF144" s="227"/>
      <c r="AG144" s="227"/>
      <c r="AH144" s="227"/>
      <c r="AI144" s="227"/>
      <c r="AJ144" s="227"/>
      <c r="AK144" s="227"/>
      <c r="AL144" s="227"/>
      <c r="AM144" s="227"/>
      <c r="AN144" s="227"/>
      <c r="AO144" s="227"/>
      <c r="AP144" s="227"/>
      <c r="AQ144" s="227"/>
      <c r="AR144" s="227"/>
      <c r="AS144" s="227"/>
      <c r="AT144" s="227"/>
      <c r="AU144" s="227"/>
      <c r="AV144" s="227"/>
      <c r="AW144" s="227"/>
      <c r="AX144" s="227"/>
      <c r="AY144" s="227"/>
      <c r="AZ144" s="227"/>
      <c r="BA144" s="227"/>
      <c r="BB144" s="227"/>
      <c r="BC144" s="227"/>
      <c r="BD144" s="227"/>
      <c r="BE144" s="227"/>
      <c r="BF144" s="227"/>
      <c r="BG144" s="227"/>
      <c r="BH144" s="227"/>
      <c r="BI144" s="227"/>
      <c r="BJ144" s="227"/>
      <c r="BK144" s="227"/>
      <c r="BL144" s="227"/>
      <c r="BM144" s="227"/>
      <c r="BN144" s="227"/>
      <c r="BO144" s="227"/>
      <c r="BP144" s="227"/>
      <c r="BQ144" s="227"/>
      <c r="BR144" s="227"/>
      <c r="BS144" s="227"/>
      <c r="BT144" s="227"/>
      <c r="BU144" s="227"/>
      <c r="BV144" s="227"/>
      <c r="BW144" s="227"/>
      <c r="BX144" s="227"/>
      <c r="BY144" s="227"/>
      <c r="BZ144" s="227"/>
      <c r="CA144" s="227"/>
      <c r="CB144" s="226"/>
      <c r="CC144" s="226"/>
      <c r="CD144" s="226"/>
      <c r="CE144" s="226"/>
      <c r="CF144" s="226"/>
      <c r="CG144" s="226"/>
      <c r="CH144" s="226"/>
      <c r="CI144" s="226"/>
      <c r="CJ144" s="226"/>
      <c r="CK144" s="226"/>
      <c r="CL144" s="226"/>
      <c r="CM144" s="226"/>
      <c r="CN144" s="226"/>
      <c r="CO144" s="226"/>
      <c r="CP144" s="226"/>
      <c r="CQ144" s="226"/>
      <c r="CR144" s="226"/>
      <c r="CS144" s="226"/>
      <c r="CT144" s="226"/>
      <c r="CU144" s="226"/>
      <c r="CV144" s="226"/>
      <c r="CW144" s="226"/>
      <c r="CX144" s="226"/>
      <c r="CY144" s="226"/>
      <c r="CZ144" s="226"/>
      <c r="DA144" s="226"/>
      <c r="DB144" s="226"/>
      <c r="DC144" s="226"/>
      <c r="DD144" s="226"/>
      <c r="DE144" s="226"/>
      <c r="DF144" s="226"/>
      <c r="DG144" s="226"/>
      <c r="DH144" s="226"/>
      <c r="DI144" s="226"/>
      <c r="DJ144" s="226"/>
      <c r="DK144" s="226"/>
      <c r="DL144" s="226"/>
      <c r="DM144" s="226"/>
      <c r="DN144" s="226"/>
      <c r="DO144" s="226"/>
      <c r="DP144" s="226"/>
      <c r="DQ144" s="226"/>
    </row>
    <row r="145" spans="32:121">
      <c r="AF145" s="227"/>
      <c r="AG145" s="227"/>
      <c r="AH145" s="227"/>
      <c r="AI145" s="227"/>
      <c r="AJ145" s="227"/>
      <c r="AK145" s="227"/>
      <c r="AL145" s="227"/>
      <c r="AM145" s="227"/>
      <c r="AN145" s="227"/>
      <c r="AO145" s="227"/>
      <c r="AP145" s="227"/>
      <c r="AQ145" s="227"/>
      <c r="AR145" s="227"/>
      <c r="AS145" s="227"/>
      <c r="AT145" s="227"/>
      <c r="AU145" s="227"/>
      <c r="AV145" s="227"/>
      <c r="AW145" s="227"/>
      <c r="AX145" s="227"/>
      <c r="AY145" s="227"/>
      <c r="AZ145" s="227"/>
      <c r="BA145" s="227"/>
      <c r="BB145" s="227"/>
      <c r="BC145" s="227"/>
      <c r="BD145" s="227"/>
      <c r="BE145" s="227"/>
      <c r="BF145" s="227"/>
      <c r="BG145" s="227"/>
      <c r="BH145" s="227"/>
      <c r="BI145" s="227"/>
      <c r="BJ145" s="227"/>
      <c r="BK145" s="227"/>
      <c r="BL145" s="227"/>
      <c r="BM145" s="227"/>
      <c r="BN145" s="227"/>
      <c r="BO145" s="227"/>
      <c r="BP145" s="227"/>
      <c r="BQ145" s="227"/>
      <c r="BR145" s="227"/>
      <c r="BS145" s="227"/>
      <c r="BT145" s="227"/>
      <c r="BU145" s="227"/>
      <c r="BV145" s="227"/>
      <c r="BW145" s="227"/>
      <c r="BX145" s="227"/>
      <c r="BY145" s="227"/>
      <c r="BZ145" s="227"/>
      <c r="CA145" s="227"/>
      <c r="CB145" s="226"/>
      <c r="CC145" s="226"/>
      <c r="CD145" s="226"/>
      <c r="CE145" s="226"/>
      <c r="CF145" s="226"/>
      <c r="CG145" s="226"/>
      <c r="CH145" s="226"/>
      <c r="CI145" s="226"/>
      <c r="CJ145" s="226"/>
      <c r="CK145" s="226"/>
      <c r="CL145" s="226"/>
      <c r="CM145" s="226"/>
      <c r="CN145" s="226"/>
      <c r="CO145" s="226"/>
      <c r="CP145" s="226"/>
      <c r="CQ145" s="226"/>
      <c r="CR145" s="226"/>
      <c r="CS145" s="226"/>
      <c r="CT145" s="226"/>
      <c r="CU145" s="226"/>
      <c r="CV145" s="226"/>
      <c r="CW145" s="226"/>
      <c r="CX145" s="226"/>
      <c r="CY145" s="226"/>
      <c r="CZ145" s="226"/>
      <c r="DA145" s="226"/>
      <c r="DB145" s="226"/>
      <c r="DC145" s="226"/>
      <c r="DD145" s="226"/>
      <c r="DE145" s="226"/>
      <c r="DF145" s="226"/>
      <c r="DG145" s="226"/>
      <c r="DH145" s="226"/>
      <c r="DI145" s="226"/>
      <c r="DJ145" s="226"/>
      <c r="DK145" s="226"/>
      <c r="DL145" s="226"/>
      <c r="DM145" s="226"/>
      <c r="DN145" s="226"/>
      <c r="DO145" s="226"/>
      <c r="DP145" s="226"/>
      <c r="DQ145" s="226"/>
    </row>
    <row r="146" spans="32:121">
      <c r="AF146" s="227"/>
      <c r="AG146" s="227"/>
      <c r="AH146" s="227"/>
      <c r="AI146" s="227"/>
      <c r="AJ146" s="227"/>
      <c r="AK146" s="227"/>
      <c r="AL146" s="227"/>
      <c r="AM146" s="227"/>
      <c r="AN146" s="227"/>
      <c r="AO146" s="227"/>
      <c r="AP146" s="227"/>
      <c r="AQ146" s="227"/>
      <c r="AR146" s="227"/>
      <c r="AS146" s="227"/>
      <c r="AT146" s="227"/>
      <c r="AU146" s="227"/>
      <c r="AV146" s="227"/>
      <c r="AW146" s="227"/>
      <c r="AX146" s="227"/>
      <c r="AY146" s="227"/>
      <c r="AZ146" s="227"/>
      <c r="BA146" s="227"/>
      <c r="BB146" s="227"/>
      <c r="BC146" s="227"/>
      <c r="BD146" s="227"/>
      <c r="BE146" s="227"/>
      <c r="BF146" s="227"/>
      <c r="BG146" s="227"/>
      <c r="BH146" s="227"/>
      <c r="BI146" s="227"/>
      <c r="BJ146" s="227"/>
      <c r="BK146" s="227"/>
      <c r="BL146" s="227"/>
      <c r="BM146" s="227"/>
      <c r="BN146" s="227"/>
      <c r="BO146" s="227"/>
      <c r="BP146" s="227"/>
      <c r="BQ146" s="227"/>
      <c r="BR146" s="227"/>
      <c r="BS146" s="227"/>
      <c r="BT146" s="227"/>
      <c r="BU146" s="227"/>
      <c r="BV146" s="227"/>
      <c r="BW146" s="227"/>
      <c r="BX146" s="227"/>
      <c r="BY146" s="227"/>
      <c r="BZ146" s="227"/>
      <c r="CA146" s="227"/>
      <c r="CB146" s="226"/>
      <c r="CC146" s="226"/>
      <c r="CD146" s="226"/>
      <c r="CE146" s="226"/>
      <c r="CF146" s="226"/>
      <c r="CG146" s="226"/>
      <c r="CH146" s="226"/>
      <c r="CI146" s="226"/>
      <c r="CJ146" s="226"/>
      <c r="CK146" s="226"/>
      <c r="CL146" s="226"/>
      <c r="CM146" s="226"/>
      <c r="CN146" s="226"/>
      <c r="CO146" s="226"/>
      <c r="CP146" s="226"/>
      <c r="CQ146" s="226"/>
      <c r="CR146" s="226"/>
      <c r="CS146" s="226"/>
      <c r="CT146" s="226"/>
      <c r="CU146" s="226"/>
      <c r="CV146" s="226"/>
      <c r="CW146" s="226"/>
      <c r="CX146" s="226"/>
      <c r="CY146" s="226"/>
      <c r="CZ146" s="226"/>
      <c r="DA146" s="226"/>
      <c r="DB146" s="226"/>
      <c r="DC146" s="226"/>
      <c r="DD146" s="226"/>
      <c r="DE146" s="226"/>
      <c r="DF146" s="226"/>
      <c r="DG146" s="226"/>
      <c r="DH146" s="226"/>
      <c r="DI146" s="226"/>
      <c r="DJ146" s="226"/>
      <c r="DK146" s="226"/>
      <c r="DL146" s="226"/>
      <c r="DM146" s="226"/>
      <c r="DN146" s="226"/>
      <c r="DO146" s="226"/>
      <c r="DP146" s="226"/>
      <c r="DQ146" s="226"/>
    </row>
    <row r="147" spans="32:121">
      <c r="AF147" s="227"/>
      <c r="AG147" s="227"/>
      <c r="AH147" s="227"/>
      <c r="AI147" s="227"/>
      <c r="AJ147" s="227"/>
      <c r="AK147" s="227"/>
      <c r="AL147" s="227"/>
      <c r="AM147" s="227"/>
      <c r="AN147" s="227"/>
      <c r="AO147" s="227"/>
      <c r="AP147" s="227"/>
      <c r="AQ147" s="227"/>
      <c r="AR147" s="227"/>
      <c r="AS147" s="227"/>
      <c r="AT147" s="227"/>
      <c r="AU147" s="227"/>
      <c r="AV147" s="227"/>
      <c r="AW147" s="227"/>
      <c r="AX147" s="227"/>
      <c r="AY147" s="227"/>
      <c r="AZ147" s="227"/>
      <c r="BA147" s="227"/>
      <c r="BB147" s="227"/>
      <c r="BC147" s="227"/>
      <c r="BD147" s="227"/>
      <c r="BE147" s="227"/>
      <c r="BF147" s="227"/>
      <c r="BG147" s="227"/>
      <c r="BH147" s="227"/>
      <c r="BI147" s="227"/>
      <c r="BJ147" s="227"/>
      <c r="BK147" s="227"/>
      <c r="BL147" s="227"/>
      <c r="BM147" s="227"/>
      <c r="BN147" s="227"/>
      <c r="BO147" s="227"/>
      <c r="BP147" s="227"/>
      <c r="BQ147" s="227"/>
      <c r="BR147" s="227"/>
      <c r="BS147" s="227"/>
      <c r="BT147" s="227"/>
      <c r="BU147" s="227"/>
      <c r="BV147" s="227"/>
      <c r="BW147" s="227"/>
      <c r="BX147" s="227"/>
      <c r="BY147" s="227"/>
      <c r="BZ147" s="227"/>
      <c r="CA147" s="227"/>
      <c r="CB147" s="226"/>
      <c r="CC147" s="226"/>
      <c r="CD147" s="226"/>
      <c r="CE147" s="226"/>
      <c r="CF147" s="226"/>
      <c r="CG147" s="226"/>
      <c r="CH147" s="226"/>
      <c r="CI147" s="226"/>
      <c r="CJ147" s="226"/>
      <c r="CK147" s="226"/>
      <c r="CL147" s="226"/>
      <c r="CM147" s="226"/>
      <c r="CN147" s="226"/>
      <c r="CO147" s="226"/>
      <c r="CP147" s="226"/>
      <c r="CQ147" s="226"/>
      <c r="CR147" s="226"/>
      <c r="CS147" s="226"/>
      <c r="CT147" s="226"/>
      <c r="CU147" s="226"/>
      <c r="CV147" s="226"/>
      <c r="CW147" s="226"/>
      <c r="CX147" s="226"/>
      <c r="CY147" s="226"/>
      <c r="CZ147" s="226"/>
      <c r="DA147" s="226"/>
      <c r="DB147" s="226"/>
      <c r="DC147" s="226"/>
      <c r="DD147" s="226"/>
      <c r="DE147" s="226"/>
      <c r="DF147" s="226"/>
      <c r="DG147" s="226"/>
      <c r="DH147" s="226"/>
      <c r="DI147" s="226"/>
      <c r="DJ147" s="226"/>
      <c r="DK147" s="226"/>
      <c r="DL147" s="226"/>
      <c r="DM147" s="226"/>
      <c r="DN147" s="226"/>
      <c r="DO147" s="226"/>
      <c r="DP147" s="226"/>
      <c r="DQ147" s="226"/>
    </row>
    <row r="148" spans="32:121">
      <c r="AF148" s="227"/>
      <c r="AG148" s="227"/>
      <c r="AH148" s="227"/>
      <c r="AI148" s="227"/>
      <c r="AJ148" s="227"/>
      <c r="AK148" s="227"/>
      <c r="AL148" s="227"/>
      <c r="AM148" s="227"/>
      <c r="AN148" s="227"/>
      <c r="AO148" s="227"/>
      <c r="AP148" s="227"/>
      <c r="AQ148" s="227"/>
      <c r="AR148" s="227"/>
      <c r="AS148" s="227"/>
      <c r="AT148" s="227"/>
      <c r="AU148" s="227"/>
      <c r="AV148" s="227"/>
      <c r="AW148" s="227"/>
      <c r="AX148" s="227"/>
      <c r="AY148" s="227"/>
      <c r="AZ148" s="227"/>
      <c r="BA148" s="227"/>
      <c r="BB148" s="227"/>
      <c r="BC148" s="227"/>
      <c r="BD148" s="227"/>
      <c r="BE148" s="227"/>
      <c r="BF148" s="227"/>
      <c r="BG148" s="227"/>
      <c r="BH148" s="227"/>
      <c r="BI148" s="227"/>
      <c r="BJ148" s="227"/>
      <c r="BK148" s="227"/>
      <c r="BL148" s="227"/>
      <c r="BM148" s="227"/>
      <c r="BN148" s="227"/>
      <c r="BO148" s="227"/>
      <c r="BP148" s="227"/>
      <c r="BQ148" s="227"/>
      <c r="BR148" s="227"/>
      <c r="BS148" s="227"/>
      <c r="BT148" s="227"/>
      <c r="BU148" s="227"/>
      <c r="BV148" s="227"/>
      <c r="BW148" s="227"/>
      <c r="BX148" s="227"/>
      <c r="BY148" s="227"/>
      <c r="BZ148" s="227"/>
      <c r="CA148" s="227"/>
      <c r="CB148" s="226"/>
      <c r="CC148" s="226"/>
      <c r="CD148" s="226"/>
      <c r="CE148" s="226"/>
      <c r="CF148" s="226"/>
      <c r="CG148" s="226"/>
      <c r="CH148" s="226"/>
      <c r="CI148" s="226"/>
      <c r="CJ148" s="226"/>
      <c r="CK148" s="226"/>
      <c r="CL148" s="226"/>
      <c r="CM148" s="226"/>
      <c r="CN148" s="226"/>
      <c r="CO148" s="226"/>
      <c r="CP148" s="226"/>
      <c r="CQ148" s="226"/>
      <c r="CR148" s="226"/>
      <c r="CS148" s="226"/>
      <c r="CT148" s="226"/>
      <c r="CU148" s="226"/>
      <c r="CV148" s="226"/>
      <c r="CW148" s="226"/>
      <c r="CX148" s="226"/>
      <c r="CY148" s="226"/>
      <c r="CZ148" s="226"/>
      <c r="DA148" s="226"/>
      <c r="DB148" s="226"/>
      <c r="DC148" s="226"/>
      <c r="DD148" s="226"/>
      <c r="DE148" s="226"/>
      <c r="DF148" s="226"/>
      <c r="DG148" s="226"/>
      <c r="DH148" s="226"/>
      <c r="DI148" s="226"/>
      <c r="DJ148" s="226"/>
      <c r="DK148" s="226"/>
      <c r="DL148" s="226"/>
      <c r="DM148" s="226"/>
      <c r="DN148" s="226"/>
      <c r="DO148" s="226"/>
      <c r="DP148" s="226"/>
      <c r="DQ148" s="226"/>
    </row>
    <row r="149" spans="32:121">
      <c r="AF149" s="227"/>
      <c r="AG149" s="227"/>
      <c r="AH149" s="227"/>
      <c r="AI149" s="227"/>
      <c r="AJ149" s="227"/>
      <c r="AK149" s="227"/>
      <c r="AL149" s="227"/>
      <c r="AM149" s="227"/>
      <c r="AN149" s="227"/>
      <c r="AO149" s="227"/>
      <c r="AP149" s="227"/>
      <c r="AQ149" s="227"/>
      <c r="AR149" s="227"/>
      <c r="AS149" s="227"/>
      <c r="AT149" s="227"/>
      <c r="AU149" s="227"/>
      <c r="AV149" s="227"/>
      <c r="AW149" s="227"/>
      <c r="AX149" s="227"/>
      <c r="AY149" s="227"/>
      <c r="AZ149" s="227"/>
      <c r="BA149" s="227"/>
      <c r="BB149" s="227"/>
      <c r="BC149" s="227"/>
      <c r="BD149" s="227"/>
      <c r="BE149" s="227"/>
      <c r="BF149" s="227"/>
      <c r="BG149" s="227"/>
      <c r="BH149" s="227"/>
      <c r="BI149" s="227"/>
      <c r="BJ149" s="227"/>
      <c r="BK149" s="227"/>
      <c r="BL149" s="227"/>
      <c r="BM149" s="227"/>
      <c r="BN149" s="227"/>
      <c r="BO149" s="227"/>
      <c r="BP149" s="227"/>
      <c r="BQ149" s="227"/>
      <c r="BR149" s="227"/>
      <c r="BS149" s="227"/>
      <c r="BT149" s="227"/>
      <c r="BU149" s="227"/>
      <c r="BV149" s="227"/>
      <c r="BW149" s="227"/>
      <c r="BX149" s="227"/>
      <c r="BY149" s="227"/>
      <c r="BZ149" s="227"/>
      <c r="CA149" s="227"/>
      <c r="CB149" s="226"/>
      <c r="CC149" s="226"/>
      <c r="CD149" s="226"/>
      <c r="CE149" s="226"/>
      <c r="CF149" s="226"/>
      <c r="CG149" s="226"/>
      <c r="CH149" s="226"/>
      <c r="CI149" s="226"/>
      <c r="CJ149" s="226"/>
      <c r="CK149" s="226"/>
      <c r="CL149" s="226"/>
      <c r="CM149" s="226"/>
      <c r="CN149" s="226"/>
      <c r="CO149" s="226"/>
      <c r="CP149" s="226"/>
      <c r="CQ149" s="226"/>
      <c r="CR149" s="226"/>
      <c r="CS149" s="226"/>
      <c r="CT149" s="226"/>
      <c r="CU149" s="226"/>
      <c r="CV149" s="226"/>
      <c r="CW149" s="226"/>
      <c r="CX149" s="226"/>
      <c r="CY149" s="226"/>
      <c r="CZ149" s="226"/>
      <c r="DA149" s="226"/>
      <c r="DB149" s="226"/>
      <c r="DC149" s="226"/>
      <c r="DD149" s="226"/>
      <c r="DE149" s="226"/>
      <c r="DF149" s="226"/>
      <c r="DG149" s="226"/>
      <c r="DH149" s="226"/>
      <c r="DI149" s="226"/>
      <c r="DJ149" s="226"/>
      <c r="DK149" s="226"/>
      <c r="DL149" s="226"/>
      <c r="DM149" s="226"/>
      <c r="DN149" s="226"/>
      <c r="DO149" s="226"/>
      <c r="DP149" s="226"/>
      <c r="DQ149" s="226"/>
    </row>
    <row r="150" spans="32:121">
      <c r="AF150" s="227"/>
      <c r="AG150" s="227"/>
      <c r="AH150" s="227"/>
      <c r="AI150" s="227"/>
      <c r="AJ150" s="227"/>
      <c r="AK150" s="227"/>
      <c r="AL150" s="227"/>
      <c r="AM150" s="227"/>
      <c r="AN150" s="227"/>
      <c r="AO150" s="227"/>
      <c r="AP150" s="227"/>
      <c r="AQ150" s="227"/>
      <c r="AR150" s="227"/>
      <c r="AS150" s="227"/>
      <c r="AT150" s="227"/>
      <c r="AU150" s="227"/>
      <c r="AV150" s="227"/>
      <c r="AW150" s="227"/>
      <c r="AX150" s="227"/>
      <c r="AY150" s="227"/>
      <c r="AZ150" s="227"/>
      <c r="BA150" s="227"/>
      <c r="BB150" s="227"/>
      <c r="BC150" s="227"/>
      <c r="BD150" s="227"/>
      <c r="BE150" s="227"/>
      <c r="BF150" s="227"/>
      <c r="BG150" s="227"/>
      <c r="BH150" s="227"/>
      <c r="BI150" s="227"/>
      <c r="BJ150" s="227"/>
      <c r="BK150" s="227"/>
      <c r="BL150" s="227"/>
      <c r="BM150" s="227"/>
      <c r="BN150" s="227"/>
      <c r="BO150" s="227"/>
      <c r="BP150" s="227"/>
      <c r="BQ150" s="227"/>
      <c r="BR150" s="227"/>
      <c r="BS150" s="227"/>
      <c r="BT150" s="227"/>
      <c r="BU150" s="227"/>
      <c r="BV150" s="227"/>
      <c r="BW150" s="227"/>
      <c r="BX150" s="227"/>
      <c r="BY150" s="227"/>
      <c r="BZ150" s="227"/>
      <c r="CA150" s="227"/>
      <c r="CB150" s="226"/>
      <c r="CC150" s="226"/>
      <c r="CD150" s="226"/>
      <c r="CE150" s="226"/>
      <c r="CF150" s="226"/>
      <c r="CG150" s="226"/>
      <c r="CH150" s="226"/>
      <c r="CI150" s="226"/>
      <c r="CJ150" s="226"/>
      <c r="CK150" s="226"/>
      <c r="CL150" s="226"/>
      <c r="CM150" s="226"/>
      <c r="CN150" s="226"/>
      <c r="CO150" s="226"/>
      <c r="CP150" s="226"/>
      <c r="CQ150" s="226"/>
      <c r="CR150" s="226"/>
      <c r="CS150" s="226"/>
      <c r="CT150" s="226"/>
      <c r="CU150" s="226"/>
      <c r="CV150" s="226"/>
      <c r="CW150" s="226"/>
      <c r="CX150" s="226"/>
      <c r="CY150" s="226"/>
      <c r="CZ150" s="226"/>
      <c r="DA150" s="226"/>
      <c r="DB150" s="226"/>
      <c r="DC150" s="226"/>
      <c r="DD150" s="226"/>
      <c r="DE150" s="226"/>
      <c r="DF150" s="226"/>
      <c r="DG150" s="226"/>
      <c r="DH150" s="226"/>
      <c r="DI150" s="226"/>
      <c r="DJ150" s="226"/>
      <c r="DK150" s="226"/>
      <c r="DL150" s="226"/>
      <c r="DM150" s="226"/>
      <c r="DN150" s="226"/>
      <c r="DO150" s="226"/>
      <c r="DP150" s="226"/>
      <c r="DQ150" s="226"/>
    </row>
    <row r="151" spans="32:121">
      <c r="AF151" s="227"/>
      <c r="AG151" s="227"/>
      <c r="AH151" s="227"/>
      <c r="AI151" s="227"/>
      <c r="AJ151" s="227"/>
      <c r="AK151" s="227"/>
      <c r="AL151" s="227"/>
      <c r="AM151" s="227"/>
      <c r="AN151" s="227"/>
      <c r="AO151" s="227"/>
      <c r="AP151" s="227"/>
      <c r="AQ151" s="227"/>
      <c r="AR151" s="227"/>
      <c r="AS151" s="227"/>
      <c r="AT151" s="227"/>
      <c r="AU151" s="227"/>
      <c r="AV151" s="227"/>
      <c r="AW151" s="227"/>
      <c r="AX151" s="227"/>
      <c r="AY151" s="227"/>
      <c r="AZ151" s="227"/>
      <c r="BA151" s="227"/>
      <c r="BB151" s="227"/>
      <c r="BC151" s="227"/>
      <c r="BD151" s="227"/>
      <c r="BE151" s="227"/>
      <c r="BF151" s="227"/>
      <c r="BG151" s="227"/>
      <c r="BH151" s="227"/>
      <c r="BI151" s="227"/>
      <c r="BJ151" s="227"/>
      <c r="BK151" s="227"/>
      <c r="BL151" s="227"/>
      <c r="BM151" s="227"/>
      <c r="BN151" s="227"/>
      <c r="BO151" s="227"/>
      <c r="BP151" s="227"/>
      <c r="BQ151" s="227"/>
      <c r="BR151" s="227"/>
      <c r="BS151" s="227"/>
      <c r="BT151" s="227"/>
      <c r="BU151" s="227"/>
      <c r="BV151" s="227"/>
      <c r="BW151" s="227"/>
      <c r="BX151" s="227"/>
      <c r="BY151" s="227"/>
      <c r="BZ151" s="227"/>
      <c r="CA151" s="227"/>
      <c r="CB151" s="226"/>
      <c r="CC151" s="226"/>
      <c r="CD151" s="226"/>
      <c r="CE151" s="226"/>
      <c r="CF151" s="226"/>
      <c r="CG151" s="226"/>
      <c r="CH151" s="226"/>
      <c r="CI151" s="226"/>
      <c r="CJ151" s="226"/>
      <c r="CK151" s="226"/>
      <c r="CL151" s="226"/>
      <c r="CM151" s="226"/>
      <c r="CN151" s="226"/>
      <c r="CO151" s="226"/>
      <c r="CP151" s="226"/>
      <c r="CQ151" s="226"/>
      <c r="CR151" s="226"/>
      <c r="CS151" s="226"/>
      <c r="CT151" s="226"/>
      <c r="CU151" s="226"/>
      <c r="CV151" s="226"/>
      <c r="CW151" s="226"/>
      <c r="CX151" s="226"/>
      <c r="CY151" s="226"/>
      <c r="CZ151" s="226"/>
      <c r="DA151" s="226"/>
      <c r="DB151" s="226"/>
      <c r="DC151" s="226"/>
      <c r="DD151" s="226"/>
      <c r="DE151" s="226"/>
      <c r="DF151" s="226"/>
      <c r="DG151" s="226"/>
      <c r="DH151" s="226"/>
      <c r="DI151" s="226"/>
      <c r="DJ151" s="226"/>
      <c r="DK151" s="226"/>
      <c r="DL151" s="226"/>
      <c r="DM151" s="226"/>
      <c r="DN151" s="226"/>
      <c r="DO151" s="226"/>
      <c r="DP151" s="226"/>
      <c r="DQ151" s="226"/>
    </row>
    <row r="152" spans="32:121">
      <c r="AF152" s="227"/>
      <c r="AG152" s="227"/>
      <c r="AH152" s="227"/>
      <c r="AI152" s="227"/>
      <c r="AJ152" s="227"/>
      <c r="AK152" s="227"/>
      <c r="AL152" s="227"/>
      <c r="AM152" s="227"/>
      <c r="AN152" s="227"/>
      <c r="AO152" s="227"/>
      <c r="AP152" s="227"/>
      <c r="AQ152" s="227"/>
      <c r="AR152" s="227"/>
      <c r="AS152" s="227"/>
      <c r="AT152" s="227"/>
      <c r="AU152" s="227"/>
      <c r="AV152" s="227"/>
      <c r="AW152" s="227"/>
      <c r="AX152" s="227"/>
      <c r="AY152" s="227"/>
      <c r="AZ152" s="227"/>
      <c r="BA152" s="227"/>
      <c r="BB152" s="227"/>
      <c r="BC152" s="227"/>
      <c r="BD152" s="227"/>
      <c r="BE152" s="227"/>
      <c r="BF152" s="227"/>
      <c r="BG152" s="227"/>
      <c r="BH152" s="227"/>
      <c r="BI152" s="227"/>
      <c r="BJ152" s="227"/>
      <c r="BK152" s="227"/>
      <c r="BL152" s="227"/>
      <c r="BM152" s="227"/>
      <c r="BN152" s="227"/>
      <c r="BO152" s="227"/>
      <c r="BP152" s="227"/>
      <c r="BQ152" s="227"/>
      <c r="BR152" s="227"/>
      <c r="BS152" s="227"/>
      <c r="BT152" s="227"/>
      <c r="BU152" s="227"/>
      <c r="BV152" s="227"/>
      <c r="BW152" s="227"/>
      <c r="BX152" s="227"/>
      <c r="BY152" s="227"/>
      <c r="BZ152" s="227"/>
      <c r="CA152" s="227"/>
      <c r="CB152" s="226"/>
      <c r="CC152" s="226"/>
      <c r="CD152" s="226"/>
      <c r="CE152" s="226"/>
      <c r="CF152" s="226"/>
      <c r="CG152" s="226"/>
      <c r="CH152" s="226"/>
      <c r="CI152" s="226"/>
      <c r="CJ152" s="226"/>
      <c r="CK152" s="226"/>
      <c r="CL152" s="226"/>
      <c r="CM152" s="226"/>
      <c r="CN152" s="226"/>
      <c r="CO152" s="226"/>
      <c r="CP152" s="226"/>
      <c r="CQ152" s="226"/>
      <c r="CR152" s="226"/>
      <c r="CS152" s="226"/>
      <c r="CT152" s="226"/>
      <c r="CU152" s="226"/>
      <c r="CV152" s="226"/>
      <c r="CW152" s="226"/>
      <c r="CX152" s="226"/>
      <c r="CY152" s="226"/>
      <c r="CZ152" s="226"/>
      <c r="DA152" s="226"/>
      <c r="DB152" s="226"/>
      <c r="DC152" s="226"/>
      <c r="DD152" s="226"/>
      <c r="DE152" s="226"/>
      <c r="DF152" s="226"/>
      <c r="DG152" s="226"/>
      <c r="DH152" s="226"/>
      <c r="DI152" s="226"/>
      <c r="DJ152" s="226"/>
      <c r="DK152" s="226"/>
      <c r="DL152" s="226"/>
      <c r="DM152" s="226"/>
      <c r="DN152" s="226"/>
      <c r="DO152" s="226"/>
      <c r="DP152" s="226"/>
      <c r="DQ152" s="226"/>
    </row>
    <row r="153" spans="32:121">
      <c r="AF153" s="227"/>
      <c r="AG153" s="227"/>
      <c r="AH153" s="227"/>
      <c r="AI153" s="227"/>
      <c r="AJ153" s="227"/>
      <c r="AK153" s="227"/>
      <c r="AL153" s="227"/>
      <c r="AM153" s="227"/>
      <c r="AN153" s="227"/>
      <c r="AO153" s="227"/>
      <c r="AP153" s="227"/>
      <c r="AQ153" s="227"/>
      <c r="AR153" s="227"/>
      <c r="AS153" s="227"/>
      <c r="AT153" s="227"/>
      <c r="AU153" s="227"/>
      <c r="AV153" s="227"/>
      <c r="AW153" s="227"/>
      <c r="AX153" s="227"/>
      <c r="AY153" s="227"/>
      <c r="AZ153" s="227"/>
      <c r="BA153" s="227"/>
      <c r="BB153" s="227"/>
      <c r="BC153" s="227"/>
      <c r="BD153" s="227"/>
      <c r="BE153" s="227"/>
      <c r="BF153" s="227"/>
      <c r="BG153" s="227"/>
      <c r="BH153" s="227"/>
      <c r="BI153" s="227"/>
      <c r="BJ153" s="227"/>
      <c r="BK153" s="227"/>
      <c r="BL153" s="227"/>
      <c r="BM153" s="227"/>
      <c r="BN153" s="227"/>
      <c r="BO153" s="227"/>
      <c r="BP153" s="227"/>
      <c r="BQ153" s="227"/>
      <c r="BR153" s="227"/>
      <c r="BS153" s="227"/>
      <c r="BT153" s="227"/>
      <c r="BU153" s="227"/>
      <c r="BV153" s="227"/>
      <c r="BW153" s="227"/>
      <c r="BX153" s="227"/>
      <c r="BY153" s="227"/>
      <c r="BZ153" s="227"/>
      <c r="CA153" s="227"/>
      <c r="CB153" s="226"/>
      <c r="CC153" s="226"/>
      <c r="CD153" s="226"/>
      <c r="CE153" s="226"/>
      <c r="CF153" s="226"/>
      <c r="CG153" s="226"/>
      <c r="CH153" s="226"/>
      <c r="CI153" s="226"/>
      <c r="CJ153" s="226"/>
      <c r="CK153" s="226"/>
      <c r="CL153" s="226"/>
      <c r="CM153" s="226"/>
      <c r="CN153" s="226"/>
      <c r="CO153" s="226"/>
      <c r="CP153" s="226"/>
      <c r="CQ153" s="226"/>
      <c r="CR153" s="226"/>
      <c r="CS153" s="226"/>
      <c r="CT153" s="226"/>
      <c r="CU153" s="226"/>
      <c r="CV153" s="226"/>
      <c r="CW153" s="226"/>
      <c r="CX153" s="226"/>
      <c r="CY153" s="226"/>
      <c r="CZ153" s="226"/>
      <c r="DA153" s="226"/>
      <c r="DB153" s="226"/>
      <c r="DC153" s="226"/>
      <c r="DD153" s="226"/>
      <c r="DE153" s="226"/>
      <c r="DF153" s="226"/>
      <c r="DG153" s="226"/>
      <c r="DH153" s="226"/>
      <c r="DI153" s="226"/>
      <c r="DJ153" s="226"/>
      <c r="DK153" s="226"/>
      <c r="DL153" s="226"/>
      <c r="DM153" s="226"/>
      <c r="DN153" s="226"/>
      <c r="DO153" s="226"/>
      <c r="DP153" s="226"/>
      <c r="DQ153" s="226"/>
    </row>
    <row r="154" spans="32:121">
      <c r="AF154" s="227"/>
      <c r="AG154" s="227"/>
      <c r="AH154" s="227"/>
      <c r="AI154" s="227"/>
      <c r="AJ154" s="227"/>
      <c r="AK154" s="227"/>
      <c r="AL154" s="227"/>
      <c r="AM154" s="227"/>
      <c r="AN154" s="227"/>
      <c r="AO154" s="227"/>
      <c r="AP154" s="227"/>
      <c r="AQ154" s="227"/>
      <c r="AR154" s="227"/>
      <c r="AS154" s="227"/>
      <c r="AT154" s="227"/>
      <c r="AU154" s="227"/>
      <c r="AV154" s="227"/>
      <c r="AW154" s="227"/>
      <c r="AX154" s="227"/>
      <c r="AY154" s="227"/>
      <c r="AZ154" s="227"/>
      <c r="BA154" s="227"/>
      <c r="BB154" s="227"/>
      <c r="BC154" s="227"/>
      <c r="BD154" s="227"/>
      <c r="BE154" s="227"/>
      <c r="BF154" s="227"/>
      <c r="BG154" s="227"/>
      <c r="BH154" s="227"/>
      <c r="BI154" s="227"/>
      <c r="BJ154" s="227"/>
      <c r="BK154" s="227"/>
      <c r="BL154" s="227"/>
      <c r="BM154" s="227"/>
      <c r="BN154" s="227"/>
      <c r="BO154" s="227"/>
      <c r="BP154" s="227"/>
      <c r="BQ154" s="227"/>
      <c r="BR154" s="227"/>
      <c r="BS154" s="227"/>
      <c r="BT154" s="227"/>
      <c r="BU154" s="227"/>
      <c r="BV154" s="227"/>
      <c r="BW154" s="227"/>
      <c r="BX154" s="227"/>
      <c r="BY154" s="227"/>
      <c r="BZ154" s="227"/>
      <c r="CA154" s="227"/>
      <c r="CB154" s="226"/>
      <c r="CC154" s="226"/>
      <c r="CD154" s="226"/>
      <c r="CE154" s="226"/>
      <c r="CF154" s="226"/>
      <c r="CG154" s="226"/>
      <c r="CH154" s="226"/>
      <c r="CI154" s="226"/>
      <c r="CJ154" s="226"/>
      <c r="CK154" s="226"/>
      <c r="CL154" s="226"/>
      <c r="CM154" s="226"/>
      <c r="CN154" s="226"/>
      <c r="CO154" s="226"/>
      <c r="CP154" s="226"/>
      <c r="CQ154" s="226"/>
      <c r="CR154" s="226"/>
      <c r="CS154" s="226"/>
      <c r="CT154" s="226"/>
      <c r="CU154" s="226"/>
      <c r="CV154" s="226"/>
      <c r="CW154" s="226"/>
      <c r="CX154" s="226"/>
      <c r="CY154" s="226"/>
      <c r="CZ154" s="226"/>
      <c r="DA154" s="226"/>
      <c r="DB154" s="226"/>
      <c r="DC154" s="226"/>
      <c r="DD154" s="226"/>
      <c r="DE154" s="226"/>
      <c r="DF154" s="226"/>
      <c r="DG154" s="226"/>
      <c r="DH154" s="226"/>
      <c r="DI154" s="226"/>
      <c r="DJ154" s="226"/>
      <c r="DK154" s="226"/>
      <c r="DL154" s="226"/>
      <c r="DM154" s="226"/>
      <c r="DN154" s="226"/>
      <c r="DO154" s="226"/>
      <c r="DP154" s="226"/>
      <c r="DQ154" s="226"/>
    </row>
    <row r="155" spans="32:121">
      <c r="AF155" s="227"/>
      <c r="AG155" s="227"/>
      <c r="AH155" s="227"/>
      <c r="AI155" s="227"/>
      <c r="AJ155" s="227"/>
      <c r="AK155" s="227"/>
      <c r="AL155" s="227"/>
      <c r="AM155" s="227"/>
      <c r="AN155" s="227"/>
      <c r="AO155" s="227"/>
      <c r="AP155" s="227"/>
      <c r="AQ155" s="227"/>
      <c r="AR155" s="227"/>
      <c r="AS155" s="227"/>
      <c r="AT155" s="227"/>
      <c r="AU155" s="227"/>
      <c r="AV155" s="227"/>
      <c r="AW155" s="227"/>
      <c r="AX155" s="227"/>
      <c r="AY155" s="227"/>
      <c r="AZ155" s="227"/>
      <c r="BA155" s="227"/>
      <c r="BB155" s="227"/>
      <c r="BC155" s="227"/>
      <c r="BD155" s="227"/>
      <c r="BE155" s="227"/>
      <c r="BF155" s="227"/>
      <c r="BG155" s="227"/>
      <c r="BH155" s="227"/>
      <c r="BI155" s="227"/>
      <c r="BJ155" s="227"/>
      <c r="BK155" s="227"/>
      <c r="BL155" s="227"/>
      <c r="BM155" s="227"/>
      <c r="BN155" s="227"/>
      <c r="BO155" s="227"/>
      <c r="BP155" s="227"/>
      <c r="BQ155" s="227"/>
      <c r="BR155" s="227"/>
      <c r="BS155" s="227"/>
      <c r="BT155" s="227"/>
      <c r="BU155" s="227"/>
      <c r="BV155" s="227"/>
      <c r="BW155" s="227"/>
      <c r="BX155" s="227"/>
      <c r="BY155" s="227"/>
      <c r="BZ155" s="227"/>
      <c r="CA155" s="227"/>
      <c r="CB155" s="226"/>
      <c r="CC155" s="226"/>
      <c r="CD155" s="226"/>
      <c r="CE155" s="226"/>
      <c r="CF155" s="226"/>
      <c r="CG155" s="226"/>
      <c r="CH155" s="226"/>
      <c r="CI155" s="226"/>
      <c r="CJ155" s="226"/>
      <c r="CK155" s="226"/>
      <c r="CL155" s="226"/>
      <c r="CM155" s="226"/>
      <c r="CN155" s="226"/>
      <c r="CO155" s="226"/>
      <c r="CP155" s="226"/>
      <c r="CQ155" s="226"/>
      <c r="CR155" s="226"/>
      <c r="CS155" s="226"/>
      <c r="CT155" s="226"/>
      <c r="CU155" s="226"/>
      <c r="CV155" s="226"/>
      <c r="CW155" s="226"/>
      <c r="CX155" s="226"/>
      <c r="CY155" s="226"/>
      <c r="CZ155" s="226"/>
      <c r="DA155" s="226"/>
      <c r="DB155" s="226"/>
      <c r="DC155" s="226"/>
      <c r="DD155" s="226"/>
      <c r="DE155" s="226"/>
      <c r="DF155" s="226"/>
      <c r="DG155" s="226"/>
      <c r="DH155" s="226"/>
      <c r="DI155" s="226"/>
      <c r="DJ155" s="226"/>
      <c r="DK155" s="226"/>
      <c r="DL155" s="226"/>
      <c r="DM155" s="226"/>
      <c r="DN155" s="226"/>
      <c r="DO155" s="226"/>
      <c r="DP155" s="226"/>
      <c r="DQ155" s="226"/>
    </row>
    <row r="156" spans="32:121">
      <c r="AF156" s="227"/>
      <c r="AG156" s="227"/>
      <c r="AH156" s="227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7"/>
      <c r="AT156" s="227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7"/>
      <c r="BF156" s="227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7"/>
      <c r="BR156" s="227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6"/>
      <c r="CC156" s="226"/>
      <c r="CD156" s="226"/>
      <c r="CE156" s="226"/>
      <c r="CF156" s="226"/>
      <c r="CG156" s="226"/>
      <c r="CH156" s="226"/>
      <c r="CI156" s="226"/>
      <c r="CJ156" s="226"/>
      <c r="CK156" s="226"/>
      <c r="CL156" s="226"/>
      <c r="CM156" s="226"/>
      <c r="CN156" s="226"/>
      <c r="CO156" s="226"/>
      <c r="CP156" s="226"/>
      <c r="CQ156" s="226"/>
      <c r="CR156" s="226"/>
      <c r="CS156" s="226"/>
      <c r="CT156" s="226"/>
      <c r="CU156" s="226"/>
      <c r="CV156" s="226"/>
      <c r="CW156" s="226"/>
      <c r="CX156" s="226"/>
      <c r="CY156" s="226"/>
      <c r="CZ156" s="226"/>
      <c r="DA156" s="226"/>
      <c r="DB156" s="226"/>
      <c r="DC156" s="226"/>
      <c r="DD156" s="226"/>
      <c r="DE156" s="226"/>
      <c r="DF156" s="226"/>
      <c r="DG156" s="226"/>
      <c r="DH156" s="226"/>
      <c r="DI156" s="226"/>
      <c r="DJ156" s="226"/>
      <c r="DK156" s="226"/>
      <c r="DL156" s="226"/>
      <c r="DM156" s="226"/>
      <c r="DN156" s="226"/>
      <c r="DO156" s="226"/>
      <c r="DP156" s="226"/>
      <c r="DQ156" s="226"/>
    </row>
    <row r="157" spans="32:121">
      <c r="AF157" s="227"/>
      <c r="AG157" s="227"/>
      <c r="AH157" s="227"/>
      <c r="AI157" s="227"/>
      <c r="AJ157" s="227"/>
      <c r="AK157" s="227"/>
      <c r="AL157" s="227"/>
      <c r="AM157" s="227"/>
      <c r="AN157" s="227"/>
      <c r="AO157" s="227"/>
      <c r="AP157" s="227"/>
      <c r="AQ157" s="227"/>
      <c r="AR157" s="227"/>
      <c r="AS157" s="227"/>
      <c r="AT157" s="227"/>
      <c r="AU157" s="227"/>
      <c r="AV157" s="227"/>
      <c r="AW157" s="227"/>
      <c r="AX157" s="227"/>
      <c r="AY157" s="227"/>
      <c r="AZ157" s="227"/>
      <c r="BA157" s="227"/>
      <c r="BB157" s="227"/>
      <c r="BC157" s="227"/>
      <c r="BD157" s="227"/>
      <c r="BE157" s="227"/>
      <c r="BF157" s="227"/>
      <c r="BG157" s="227"/>
      <c r="BH157" s="227"/>
      <c r="BI157" s="227"/>
      <c r="BJ157" s="227"/>
      <c r="BK157" s="227"/>
      <c r="BL157" s="227"/>
      <c r="BM157" s="227"/>
      <c r="BN157" s="227"/>
      <c r="BO157" s="227"/>
      <c r="BP157" s="227"/>
      <c r="BQ157" s="227"/>
      <c r="BR157" s="227"/>
      <c r="BS157" s="227"/>
      <c r="BT157" s="227"/>
      <c r="BU157" s="227"/>
      <c r="BV157" s="227"/>
      <c r="BW157" s="227"/>
      <c r="BX157" s="227"/>
      <c r="BY157" s="227"/>
      <c r="BZ157" s="227"/>
      <c r="CA157" s="227"/>
      <c r="CB157" s="226"/>
      <c r="CC157" s="226"/>
      <c r="CD157" s="226"/>
      <c r="CE157" s="226"/>
      <c r="CF157" s="226"/>
      <c r="CG157" s="226"/>
      <c r="CH157" s="226"/>
      <c r="CI157" s="226"/>
      <c r="CJ157" s="226"/>
      <c r="CK157" s="226"/>
      <c r="CL157" s="226"/>
      <c r="CM157" s="226"/>
      <c r="CN157" s="226"/>
      <c r="CO157" s="226"/>
      <c r="CP157" s="226"/>
      <c r="CQ157" s="226"/>
      <c r="CR157" s="226"/>
      <c r="CS157" s="226"/>
      <c r="CT157" s="226"/>
      <c r="CU157" s="226"/>
      <c r="CV157" s="226"/>
      <c r="CW157" s="226"/>
      <c r="CX157" s="226"/>
      <c r="CY157" s="226"/>
      <c r="CZ157" s="226"/>
      <c r="DA157" s="226"/>
      <c r="DB157" s="226"/>
      <c r="DC157" s="226"/>
      <c r="DD157" s="226"/>
      <c r="DE157" s="226"/>
      <c r="DF157" s="226"/>
      <c r="DG157" s="226"/>
      <c r="DH157" s="226"/>
      <c r="DI157" s="226"/>
      <c r="DJ157" s="226"/>
      <c r="DK157" s="226"/>
      <c r="DL157" s="226"/>
      <c r="DM157" s="226"/>
      <c r="DN157" s="226"/>
      <c r="DO157" s="226"/>
      <c r="DP157" s="226"/>
      <c r="DQ157" s="226"/>
    </row>
    <row r="158" spans="32:121">
      <c r="AF158" s="227"/>
      <c r="AG158" s="227"/>
      <c r="AH158" s="227"/>
      <c r="AI158" s="227"/>
      <c r="AJ158" s="227"/>
      <c r="AK158" s="227"/>
      <c r="AL158" s="227"/>
      <c r="AM158" s="227"/>
      <c r="AN158" s="227"/>
      <c r="AO158" s="227"/>
      <c r="AP158" s="227"/>
      <c r="AQ158" s="227"/>
      <c r="AR158" s="227"/>
      <c r="AS158" s="227"/>
      <c r="AT158" s="227"/>
      <c r="AU158" s="227"/>
      <c r="AV158" s="227"/>
      <c r="AW158" s="227"/>
      <c r="AX158" s="227"/>
      <c r="AY158" s="227"/>
      <c r="AZ158" s="227"/>
      <c r="BA158" s="227"/>
      <c r="BB158" s="227"/>
      <c r="BC158" s="227"/>
      <c r="BD158" s="227"/>
      <c r="BE158" s="227"/>
      <c r="BF158" s="227"/>
      <c r="BG158" s="227"/>
      <c r="BH158" s="227"/>
      <c r="BI158" s="227"/>
      <c r="BJ158" s="227"/>
      <c r="BK158" s="227"/>
      <c r="BL158" s="227"/>
      <c r="BM158" s="227"/>
      <c r="BN158" s="227"/>
      <c r="BO158" s="227"/>
      <c r="BP158" s="227"/>
      <c r="BQ158" s="227"/>
      <c r="BR158" s="227"/>
      <c r="BS158" s="227"/>
      <c r="BT158" s="227"/>
      <c r="BU158" s="227"/>
      <c r="BV158" s="227"/>
      <c r="BW158" s="227"/>
      <c r="BX158" s="227"/>
      <c r="BY158" s="227"/>
      <c r="BZ158" s="227"/>
      <c r="CA158" s="227"/>
      <c r="CB158" s="226"/>
      <c r="CC158" s="226"/>
      <c r="CD158" s="226"/>
      <c r="CE158" s="226"/>
      <c r="CF158" s="226"/>
      <c r="CG158" s="226"/>
      <c r="CH158" s="226"/>
      <c r="CI158" s="226"/>
      <c r="CJ158" s="226"/>
      <c r="CK158" s="226"/>
      <c r="CL158" s="226"/>
      <c r="CM158" s="226"/>
      <c r="CN158" s="226"/>
      <c r="CO158" s="226"/>
      <c r="CP158" s="226"/>
      <c r="CQ158" s="226"/>
      <c r="CR158" s="226"/>
      <c r="CS158" s="226"/>
      <c r="CT158" s="226"/>
      <c r="CU158" s="226"/>
      <c r="CV158" s="226"/>
      <c r="CW158" s="226"/>
      <c r="CX158" s="226"/>
      <c r="CY158" s="226"/>
      <c r="CZ158" s="226"/>
      <c r="DA158" s="226"/>
      <c r="DB158" s="226"/>
      <c r="DC158" s="226"/>
      <c r="DD158" s="226"/>
      <c r="DE158" s="226"/>
      <c r="DF158" s="226"/>
      <c r="DG158" s="226"/>
      <c r="DH158" s="226"/>
      <c r="DI158" s="226"/>
      <c r="DJ158" s="226"/>
      <c r="DK158" s="226"/>
      <c r="DL158" s="226"/>
      <c r="DM158" s="226"/>
      <c r="DN158" s="226"/>
      <c r="DO158" s="226"/>
      <c r="DP158" s="226"/>
      <c r="DQ158" s="226"/>
    </row>
  </sheetData>
  <sheetProtection algorithmName="SHA-512" hashValue="7hR1rvJHVgvzvBCrldcPpIFP5L5lAfGaZaNntiEvIYGUGC7+TawK/eKjfiKlnwbpZLurCa8YMsI825/xh8J7dg==" saltValue="k80BWsjjEL8yn8BTR82RkA==" spinCount="100000" selectLockedCells="1"/>
  <mergeCells count="25">
    <mergeCell ref="G1:H1"/>
    <mergeCell ref="I63:N63"/>
    <mergeCell ref="I55:N55"/>
    <mergeCell ref="I56:N56"/>
    <mergeCell ref="I57:N57"/>
    <mergeCell ref="I60:N60"/>
    <mergeCell ref="I59:N59"/>
    <mergeCell ref="I61:N61"/>
    <mergeCell ref="BH20:BM20"/>
    <mergeCell ref="BH4:BM4"/>
    <mergeCell ref="BB4:BG4"/>
    <mergeCell ref="AB4:AD5"/>
    <mergeCell ref="E4:E9"/>
    <mergeCell ref="E12:E17"/>
    <mergeCell ref="AB12:AD13"/>
    <mergeCell ref="BB12:BG12"/>
    <mergeCell ref="BH12:BM12"/>
    <mergeCell ref="E45:E46"/>
    <mergeCell ref="E39:E42"/>
    <mergeCell ref="E20:E25"/>
    <mergeCell ref="AB20:AD21"/>
    <mergeCell ref="BB20:BG20"/>
    <mergeCell ref="F28:Z28"/>
    <mergeCell ref="F29:Z29"/>
    <mergeCell ref="P31:R32"/>
  </mergeCells>
  <conditionalFormatting sqref="K45:L46">
    <cfRule type="expression" dxfId="114" priority="331">
      <formula>K45=""</formula>
    </cfRule>
  </conditionalFormatting>
  <conditionalFormatting sqref="K4:L4">
    <cfRule type="expression" dxfId="113" priority="297">
      <formula>K4=""</formula>
    </cfRule>
  </conditionalFormatting>
  <conditionalFormatting sqref="K39:L39">
    <cfRule type="expression" dxfId="112" priority="288">
      <formula>K39=""</formula>
    </cfRule>
  </conditionalFormatting>
  <conditionalFormatting sqref="K40:L40">
    <cfRule type="expression" dxfId="111" priority="255">
      <formula>K40=""</formula>
    </cfRule>
  </conditionalFormatting>
  <conditionalFormatting sqref="K41:L41">
    <cfRule type="expression" dxfId="110" priority="252">
      <formula>K41=""</formula>
    </cfRule>
  </conditionalFormatting>
  <conditionalFormatting sqref="K42:L42">
    <cfRule type="expression" dxfId="109" priority="249">
      <formula>K42=""</formula>
    </cfRule>
  </conditionalFormatting>
  <conditionalFormatting sqref="J39 M39">
    <cfRule type="expression" dxfId="108" priority="228">
      <formula>IF(COUNT($K39:$L39)=2,IF(AND($J39&lt;&gt;$M39,$K39=$L39,$J39&lt;&gt;"",$M39&lt;&gt;""),1=2,IF(AND($J39&lt;&gt;"",$K39=$L39),1=1,IF(AND($J39="",$K39=$L39),1=1,1=2))),1=2)</formula>
    </cfRule>
  </conditionalFormatting>
  <conditionalFormatting sqref="AA27:AE27">
    <cfRule type="iconSet" priority="175">
      <iconSet iconSet="3Symbols" showValue="0">
        <cfvo type="percent" val="0"/>
        <cfvo type="num" val="0"/>
        <cfvo type="num" val="90"/>
      </iconSet>
    </cfRule>
  </conditionalFormatting>
  <conditionalFormatting sqref="O27">
    <cfRule type="iconSet" priority="174">
      <iconSet iconSet="3Symbols" showValue="0">
        <cfvo type="percent" val="0"/>
        <cfvo type="num" val="0.5"/>
        <cfvo type="num" val="1"/>
      </iconSet>
    </cfRule>
  </conditionalFormatting>
  <conditionalFormatting sqref="K5:L9">
    <cfRule type="expression" dxfId="107" priority="173">
      <formula>K5=""</formula>
    </cfRule>
  </conditionalFormatting>
  <conditionalFormatting sqref="F28:Z29">
    <cfRule type="expression" dxfId="106" priority="172">
      <formula>$E$28&gt;0</formula>
    </cfRule>
  </conditionalFormatting>
  <conditionalFormatting sqref="E28:F28">
    <cfRule type="expression" priority="164">
      <formula>$E$28&gt;0</formula>
    </cfRule>
  </conditionalFormatting>
  <conditionalFormatting sqref="Q47 S47:AC47 AA43:AC46">
    <cfRule type="expression" dxfId="105" priority="134">
      <formula>#REF!&gt;0</formula>
    </cfRule>
  </conditionalFormatting>
  <conditionalFormatting sqref="AC6:AC9">
    <cfRule type="expression" dxfId="104" priority="132">
      <formula>IF(AND(VLOOKUP(AB6,$R$6:$AA$9,10,0)&gt;=0,VLOOKUP(AB6,$R$6:$AA$9,10,0)&lt;90),1,0)</formula>
    </cfRule>
  </conditionalFormatting>
  <conditionalFormatting sqref="AB4:AD5">
    <cfRule type="expression" dxfId="103" priority="124">
      <formula>$AA$5&gt;0</formula>
    </cfRule>
  </conditionalFormatting>
  <conditionalFormatting sqref="O39:O42 O45:O46">
    <cfRule type="iconSet" priority="438">
      <iconSet iconSet="3Symbols2" showValue="0">
        <cfvo type="percent" val="0"/>
        <cfvo type="num" val="0.5"/>
        <cfvo type="num" val="1"/>
      </iconSet>
    </cfRule>
  </conditionalFormatting>
  <conditionalFormatting sqref="R47">
    <cfRule type="expression" dxfId="102" priority="100">
      <formula>#REF!&gt;0</formula>
    </cfRule>
  </conditionalFormatting>
  <conditionalFormatting sqref="J45:J46 M45:M46">
    <cfRule type="expression" dxfId="101" priority="99">
      <formula>IF(COUNT($K45:$L45)=2,IF(AND($J45&lt;&gt;$M45,$K45=$L45,$J45&lt;&gt;"",$M45&lt;&gt;""),1=2,IF(AND($J45&lt;&gt;"",$K45=$L45),1=1,IF(AND($J45="",$K45=$L45),1=1,1=2))),1=2)</formula>
    </cfRule>
  </conditionalFormatting>
  <conditionalFormatting sqref="AA6:AA9">
    <cfRule type="iconSet" priority="443">
      <iconSet iconSet="3Symbols2" showValue="0">
        <cfvo type="percent" val="0"/>
        <cfvo type="num" val="0"/>
        <cfvo type="num" val="90"/>
      </iconSet>
    </cfRule>
  </conditionalFormatting>
  <conditionalFormatting sqref="O4:O9">
    <cfRule type="iconSet" priority="444">
      <iconSet iconSet="3Symbols2" showValue="0">
        <cfvo type="percent" val="0"/>
        <cfvo type="num" val="0.5"/>
        <cfvo type="num" val="1"/>
      </iconSet>
    </cfRule>
  </conditionalFormatting>
  <conditionalFormatting sqref="AC14:AC17">
    <cfRule type="expression" dxfId="100" priority="88">
      <formula>IF(AND(VLOOKUP(AB14,$R$14:$AA$17,10,0)&gt;=0,VLOOKUP(AB14,$R$14:$AA$17,10,0)&lt;90),1,0)</formula>
    </cfRule>
  </conditionalFormatting>
  <conditionalFormatting sqref="AB12:AD13">
    <cfRule type="expression" dxfId="99" priority="87">
      <formula>$AA$13&gt;0</formula>
    </cfRule>
  </conditionalFormatting>
  <conditionalFormatting sqref="AA14:AA17">
    <cfRule type="iconSet" priority="95">
      <iconSet iconSet="3Symbols2" showValue="0">
        <cfvo type="percent" val="0"/>
        <cfvo type="num" val="0"/>
        <cfvo type="num" val="90"/>
      </iconSet>
    </cfRule>
  </conditionalFormatting>
  <conditionalFormatting sqref="O12:O17">
    <cfRule type="iconSet" priority="96">
      <iconSet iconSet="3Symbols2" showValue="0">
        <cfvo type="percent" val="0"/>
        <cfvo type="num" val="0.5"/>
        <cfvo type="num" val="1"/>
      </iconSet>
    </cfRule>
  </conditionalFormatting>
  <conditionalFormatting sqref="AC22:AC25">
    <cfRule type="expression" dxfId="98" priority="70">
      <formula>IF(AND(VLOOKUP(AB22,$R$22:$AA$25,10,0)&gt;=0,VLOOKUP(AB22,$R$22:$AA$25,10,0)&lt;90),1,0)</formula>
    </cfRule>
  </conditionalFormatting>
  <conditionalFormatting sqref="AB20:AD21">
    <cfRule type="expression" dxfId="97" priority="69">
      <formula>$AA$21&gt;0</formula>
    </cfRule>
  </conditionalFormatting>
  <conditionalFormatting sqref="Q24">
    <cfRule type="expression" dxfId="96" priority="66">
      <formula>AND(SUM($H33:$H$35)=9,$R$24=$F$35)</formula>
    </cfRule>
  </conditionalFormatting>
  <conditionalFormatting sqref="Z24">
    <cfRule type="expression" dxfId="95" priority="65">
      <formula>AND(SUM($H33:$H$35)=9,$R$24=$F$35)</formula>
    </cfRule>
  </conditionalFormatting>
  <conditionalFormatting sqref="R24:Y24">
    <cfRule type="expression" dxfId="94" priority="64">
      <formula>AND(SUM($H33:$H$35)=9,$R$24=$F$35)</formula>
    </cfRule>
  </conditionalFormatting>
  <conditionalFormatting sqref="Q25">
    <cfRule type="expression" dxfId="93" priority="63">
      <formula>SUM($T$22:$T$25)=12</formula>
    </cfRule>
  </conditionalFormatting>
  <conditionalFormatting sqref="Z25">
    <cfRule type="expression" dxfId="92" priority="62">
      <formula>SUM($T$22:$T$25)=12</formula>
    </cfRule>
  </conditionalFormatting>
  <conditionalFormatting sqref="R25:Y25">
    <cfRule type="expression" dxfId="91" priority="61">
      <formula>SUM($T$22:$T$25)=12</formula>
    </cfRule>
  </conditionalFormatting>
  <conditionalFormatting sqref="O33:O36 AA22:AA25">
    <cfRule type="iconSet" priority="77">
      <iconSet iconSet="3Symbols2" showValue="0">
        <cfvo type="percent" val="0"/>
        <cfvo type="num" val="0"/>
        <cfvo type="num" val="90"/>
      </iconSet>
    </cfRule>
  </conditionalFormatting>
  <conditionalFormatting sqref="O20:O25">
    <cfRule type="iconSet" priority="78">
      <iconSet iconSet="3Symbols2" showValue="0">
        <cfvo type="percent" val="0"/>
        <cfvo type="num" val="0.5"/>
        <cfvo type="num" val="1"/>
      </iconSet>
    </cfRule>
  </conditionalFormatting>
  <conditionalFormatting sqref="E35">
    <cfRule type="expression" dxfId="90" priority="54">
      <formula>SUM($H33:$H$35)=9</formula>
    </cfRule>
  </conditionalFormatting>
  <conditionalFormatting sqref="N35">
    <cfRule type="expression" dxfId="89" priority="53">
      <formula>SUM($H33:$H$35)=9</formula>
    </cfRule>
  </conditionalFormatting>
  <conditionalFormatting sqref="F35:M35">
    <cfRule type="expression" dxfId="88" priority="52">
      <formula>SUM($H33:$H$35)=9</formula>
    </cfRule>
  </conditionalFormatting>
  <conditionalFormatting sqref="P31:R32">
    <cfRule type="expression" dxfId="87" priority="49">
      <formula>$O$32&gt;0</formula>
    </cfRule>
  </conditionalFormatting>
  <conditionalFormatting sqref="K49:L49">
    <cfRule type="expression" dxfId="86" priority="47">
      <formula>K49=""</formula>
    </cfRule>
  </conditionalFormatting>
  <conditionalFormatting sqref="O49">
    <cfRule type="iconSet" priority="48">
      <iconSet iconSet="3Symbols2" showValue="0">
        <cfvo type="percent" val="0"/>
        <cfvo type="num" val="0.5"/>
        <cfvo type="num" val="1"/>
      </iconSet>
    </cfRule>
  </conditionalFormatting>
  <conditionalFormatting sqref="J49">
    <cfRule type="expression" dxfId="85" priority="46">
      <formula>IF(COUNT($K49:$L49)=2,IF(AND($J49&lt;&gt;$M49,$K49=$L49,$J49&lt;&gt;"",$M49&lt;&gt;""),1=2,IF(AND($J49&lt;&gt;"",$K49=$L49),1=1,IF(AND($J49="",$K49=$L49),1=1,1=2))),1=2)</formula>
    </cfRule>
  </conditionalFormatting>
  <conditionalFormatting sqref="K52:L52">
    <cfRule type="expression" dxfId="84" priority="44">
      <formula>K52=""</formula>
    </cfRule>
  </conditionalFormatting>
  <conditionalFormatting sqref="O52">
    <cfRule type="iconSet" priority="45">
      <iconSet iconSet="3Symbols2" showValue="0">
        <cfvo type="percent" val="0"/>
        <cfvo type="num" val="0.5"/>
        <cfvo type="num" val="1"/>
      </iconSet>
    </cfRule>
  </conditionalFormatting>
  <conditionalFormatting sqref="J52">
    <cfRule type="expression" dxfId="83" priority="43">
      <formula>IF(COUNT($K52:$L52)=2,IF(AND($J52&lt;&gt;$M52,$K52=$L52,$J52&lt;&gt;"",$M52&lt;&gt;""),1=2,IF(AND($J52&lt;&gt;"",$K52=$L52),1=1,IF(AND($J52="",$K52=$L52),1=1,1=2))),1=2)</formula>
    </cfRule>
  </conditionalFormatting>
  <conditionalFormatting sqref="O55:O57">
    <cfRule type="iconSet" priority="41">
      <iconSet iconSet="3Symbols2" showValue="0">
        <cfvo type="percent" val="0"/>
        <cfvo type="num" val="0.5"/>
        <cfvo type="num" val="1"/>
      </iconSet>
    </cfRule>
  </conditionalFormatting>
  <conditionalFormatting sqref="O59:O61 O64:O65">
    <cfRule type="iconSet" priority="40">
      <iconSet iconSet="3Symbols2" showValue="0">
        <cfvo type="percent" val="0"/>
        <cfvo type="num" val="0.5"/>
        <cfvo type="num" val="1"/>
      </iconSet>
    </cfRule>
  </conditionalFormatting>
  <conditionalFormatting sqref="O63">
    <cfRule type="iconSet" priority="38">
      <iconSet iconSet="3Symbols2" showValue="0">
        <cfvo type="percent" val="0"/>
        <cfvo type="num" val="0.5"/>
        <cfvo type="num" val="1"/>
      </iconSet>
    </cfRule>
  </conditionalFormatting>
  <conditionalFormatting sqref="Q33:Q35">
    <cfRule type="expression" dxfId="82" priority="448">
      <formula>IF(AND(VLOOKUP(P33,$F$33:$O$35,10,0)&gt;=0,VLOOKUP(P33,$F$33:$O$35,10,0)&lt;90),1,0)</formula>
    </cfRule>
  </conditionalFormatting>
  <conditionalFormatting sqref="Q55">
    <cfRule type="cellIs" dxfId="81" priority="36" operator="equal">
      <formula>"QUINIELA COMPLETA:"</formula>
    </cfRule>
  </conditionalFormatting>
  <conditionalFormatting sqref="Q58">
    <cfRule type="cellIs" dxfId="80" priority="35" operator="equal">
      <formula>"Guarda el archivo y reenvíanoslo por email"</formula>
    </cfRule>
  </conditionalFormatting>
  <conditionalFormatting sqref="E64:N65">
    <cfRule type="iconSet" priority="34">
      <iconSet iconSet="3Symbols2" showValue="0">
        <cfvo type="percent" val="0"/>
        <cfvo type="num" val="0.5"/>
        <cfvo type="num" val="1"/>
      </iconSet>
    </cfRule>
  </conditionalFormatting>
  <conditionalFormatting sqref="M49">
    <cfRule type="expression" dxfId="79" priority="24">
      <formula>IF(COUNT($K49:$L49)=2,IF(AND($J49&lt;&gt;$M49,$K49=$L49,$J49&lt;&gt;"",$M49&lt;&gt;""),1=2,IF(AND($J49&lt;&gt;"",$K49=$L49),1=1,IF(AND($J49="",$K49=$L49),1=1,1=2))),1=2)</formula>
    </cfRule>
  </conditionalFormatting>
  <conditionalFormatting sqref="M52">
    <cfRule type="expression" dxfId="78" priority="23">
      <formula>IF(COUNT($K52:$L52)=2,IF(AND($J52&lt;&gt;$M52,$K52=$L52,$J52&lt;&gt;"",$M52&lt;&gt;""),1=2,IF(AND($J52&lt;&gt;"",$K52=$L52),1=1,IF(AND($J52="",$K52=$L52),1=1,1=2))),1=2)</formula>
    </cfRule>
  </conditionalFormatting>
  <conditionalFormatting sqref="J42">
    <cfRule type="expression" dxfId="77" priority="22">
      <formula>IF(COUNT($K42:$L42)=2,IF(AND($J42&lt;&gt;$M42,$K42=$L42,$J42&lt;&gt;"",$M42&lt;&gt;""),1=2,IF(AND($J42&lt;&gt;"",$K42=$L42),1=1,IF(AND($J42="",$K42=$L42),1=1,1=2))),1=2)</formula>
    </cfRule>
  </conditionalFormatting>
  <conditionalFormatting sqref="M42">
    <cfRule type="expression" dxfId="76" priority="21">
      <formula>IF(COUNT($K42:$L42)=2,IF(AND($J42&lt;&gt;$M42,$K42=$L42,$J42&lt;&gt;"",$M42&lt;&gt;""),1=2,IF(AND($J42&lt;&gt;"",$K42=$L42),1=1,IF(AND($J42="",$K42=$L42),1=1,1=2))),1=2)</formula>
    </cfRule>
  </conditionalFormatting>
  <conditionalFormatting sqref="J40">
    <cfRule type="expression" dxfId="75" priority="20">
      <formula>IF(COUNT($K40:$L40)=2,IF(AND($J40&lt;&gt;$M40,$K40=$L40,$J40&lt;&gt;"",$M40&lt;&gt;""),1=2,IF(AND($J40&lt;&gt;"",$K40=$L40),1=1,IF(AND($J40="",$K40=$L40),1=1,1=2))),1=2)</formula>
    </cfRule>
  </conditionalFormatting>
  <conditionalFormatting sqref="M40">
    <cfRule type="expression" dxfId="74" priority="19">
      <formula>IF(COUNT($K40:$L40)=2,IF(AND($J40&lt;&gt;$M40,$K40=$L40,$J40&lt;&gt;"",$M40&lt;&gt;""),1=2,IF(AND($J40&lt;&gt;"",$K40=$L40),1=1,IF(AND($J40="",$K40=$L40),1=1,1=2))),1=2)</formula>
    </cfRule>
  </conditionalFormatting>
  <conditionalFormatting sqref="J41">
    <cfRule type="expression" dxfId="73" priority="18">
      <formula>IF(COUNT($K41:$L41)=2,IF(AND($J41&lt;&gt;$M41,$K41=$L41,$J41&lt;&gt;"",$M41&lt;&gt;""),1=2,IF(AND($J41&lt;&gt;"",$K41=$L41),1=1,IF(AND($J41="",$K41=$L41),1=1,1=2))),1=2)</formula>
    </cfRule>
  </conditionalFormatting>
  <conditionalFormatting sqref="M41">
    <cfRule type="expression" dxfId="72" priority="17">
      <formula>IF(COUNT($K41:$L41)=2,IF(AND($J41&lt;&gt;$M41,$K41=$L41,$J41&lt;&gt;"",$M41&lt;&gt;""),1=2,IF(AND($J41&lt;&gt;"",$K41=$L41),1=1,IF(AND($J41="",$K41=$L41),1=1,1=2))),1=2)</formula>
    </cfRule>
  </conditionalFormatting>
  <conditionalFormatting sqref="K12:L12">
    <cfRule type="expression" dxfId="71" priority="16">
      <formula>K12=""</formula>
    </cfRule>
  </conditionalFormatting>
  <conditionalFormatting sqref="K13:L17">
    <cfRule type="expression" dxfId="70" priority="15">
      <formula>K13=""</formula>
    </cfRule>
  </conditionalFormatting>
  <conditionalFormatting sqref="K20:L20">
    <cfRule type="expression" dxfId="69" priority="14">
      <formula>K20=""</formula>
    </cfRule>
  </conditionalFormatting>
  <conditionalFormatting sqref="K21:L25">
    <cfRule type="expression" dxfId="68" priority="13">
      <formula>K21=""</formula>
    </cfRule>
  </conditionalFormatting>
  <conditionalFormatting sqref="Q16">
    <cfRule type="expression" dxfId="67" priority="12">
      <formula>AND(SUM($H25:$H$35)=9,$R$24=$F$35)</formula>
    </cfRule>
  </conditionalFormatting>
  <conditionalFormatting sqref="Z16">
    <cfRule type="expression" dxfId="66" priority="11">
      <formula>AND(SUM($H25:$H$35)=9,$R$24=$F$35)</formula>
    </cfRule>
  </conditionalFormatting>
  <conditionalFormatting sqref="R16:Y16">
    <cfRule type="expression" dxfId="65" priority="10">
      <formula>AND(SUM($H25:$H$35)=9,$R$24=$F$35)</formula>
    </cfRule>
  </conditionalFormatting>
  <conditionalFormatting sqref="Q17">
    <cfRule type="expression" dxfId="64" priority="9">
      <formula>SUM($T$22:$T$25)=12</formula>
    </cfRule>
  </conditionalFormatting>
  <conditionalFormatting sqref="Z17">
    <cfRule type="expression" dxfId="63" priority="8">
      <formula>SUM($T$22:$T$25)=12</formula>
    </cfRule>
  </conditionalFormatting>
  <conditionalFormatting sqref="R17:Y17">
    <cfRule type="expression" dxfId="62" priority="7">
      <formula>SUM($T$22:$T$25)=12</formula>
    </cfRule>
  </conditionalFormatting>
  <conditionalFormatting sqref="Q8">
    <cfRule type="expression" dxfId="61" priority="6">
      <formula>AND(SUM($H17:$H$35)=9,$R$24=$F$35)</formula>
    </cfRule>
  </conditionalFormatting>
  <conditionalFormatting sqref="Z8">
    <cfRule type="expression" dxfId="60" priority="5">
      <formula>AND(SUM($H17:$H$35)=9,$R$24=$F$35)</formula>
    </cfRule>
  </conditionalFormatting>
  <conditionalFormatting sqref="R8:Y8">
    <cfRule type="expression" dxfId="59" priority="4">
      <formula>AND(SUM($H17:$H$35)=9,$R$24=$F$35)</formula>
    </cfRule>
  </conditionalFormatting>
  <conditionalFormatting sqref="Q9">
    <cfRule type="expression" dxfId="58" priority="3">
      <formula>SUM($T$22:$T$25)=12</formula>
    </cfRule>
  </conditionalFormatting>
  <conditionalFormatting sqref="Z9">
    <cfRule type="expression" dxfId="57" priority="2">
      <formula>SUM($T$22:$T$25)=12</formula>
    </cfRule>
  </conditionalFormatting>
  <conditionalFormatting sqref="R9:Y9">
    <cfRule type="expression" dxfId="56" priority="1">
      <formula>SUM($T$22:$T$25)=12</formula>
    </cfRule>
  </conditionalFormatting>
  <dataValidations count="18">
    <dataValidation type="whole" allowBlank="1" showInputMessage="1" showErrorMessage="1" error="Introduzca un número." sqref="J39:M42 J45:M46 J49:M49 J52:M52">
      <formula1>0</formula1>
      <formula2>100</formula2>
    </dataValidation>
    <dataValidation type="list" allowBlank="1" showInputMessage="1" showErrorMessage="1" error="Introduce un puesto que corresponda_x000a_" sqref="AC6">
      <formula1>IF($CB$6=$CD$5,$DF$5:$DF$8,IF($CB$6=$CE$5,$DG$5:$DG$7,IF(OR($CB$6=$CF$5,$CB$6=$CG$5),$DH$5:$DH$6,$DL$5)))</formula1>
    </dataValidation>
    <dataValidation type="list" allowBlank="1" showInputMessage="1" showErrorMessage="1" sqref="AC7">
      <formula1>IF($CB$6=$CD$5,$DF$5:$DF$8,IF($CB$6=$CE$5,$DG$5:$DG$7,IF(OR($CB$6=$CF$5,$CB$6=$CG$5),$DH$5:$DH$6,IF($CB$6=$CH$5,$DI$5:$DI$7,(IF($CB$6=$CI$5,$DK$5:$DK$6,$DM$5))))))</formula1>
    </dataValidation>
    <dataValidation type="list" allowBlank="1" showInputMessage="1" showErrorMessage="1" sqref="AC8">
      <formula1>IF($CB$6=$CD$5,$DF$5:$DF$8,IF($CB$6=$CE$5,$DG$5:$DG$7,IF(OR($CB$6=$CF$5,$CB$6=$CJ$5),$DJ$5:$DJ$6,IF($CB$6=$CH$5,$DI$5:$DI$7,(IF($CB$6=$CI$5,$DK$5:$DK$6,$DN$5))))))</formula1>
    </dataValidation>
    <dataValidation type="list" allowBlank="1" showInputMessage="1" showErrorMessage="1" sqref="AC9">
      <formula1>IF($CB$6=$CD$5,$DF$5:$DF$8,IF(OR($CB$6=$CF$5,$CB$6=$CJ$5),$DJ$5:$DJ$6,IF($CB$6=$CH$5,$DI$5:$DI$7,$DO$5)))</formula1>
    </dataValidation>
    <dataValidation type="whole" allowBlank="1" showInputMessage="1" showErrorMessage="1" error="Introduzca un número" sqref="K4:L10 K12:L18 K20:L27">
      <formula1>0</formula1>
      <formula2>100</formula2>
    </dataValidation>
    <dataValidation type="list" allowBlank="1" showInputMessage="1" showErrorMessage="1" error="Introduce un puesto que corresponda_x000a_" sqref="AC14">
      <formula1>IF($CB$14=$CD$13,$DF$13:$DF$16,IF($CB$14=$CE$13,$DG$13:$DG$15,IF(OR($CB$14=$CF$13,$CB$14=$CG$13),$DH$13:$DH$14,$DL$13)))</formula1>
    </dataValidation>
    <dataValidation type="list" allowBlank="1" showInputMessage="1" showErrorMessage="1" sqref="AC15">
      <formula1>IF($CB$14=$CD$13,$DF$13:$DF$16,IF($CB$14=$CE$13,$DG$13:$DG$15,IF(OR($CB$14=$CF$13,$CB$14=$CG$13),$DH$13:$DH$14,IF($CB$14=$CH$13,$DI$13:$DI$15,(IF($CB$14=$CI$13,$DK$13:$DK$14,$DM$13))))))</formula1>
    </dataValidation>
    <dataValidation type="list" allowBlank="1" showInputMessage="1" showErrorMessage="1" sqref="AC16">
      <formula1>IF($CB$14=$CD$13,$DF$13:$DF$16,IF($CB$14=$CE$13,$DG$13:$DG$15,IF(OR($CB$14=$CF$13,$CB$14=$CJ$13),$DJ$13:$DJ$14,IF($CB$14=$CH$13,$DI$13:$DI$15,(IF($CB$14=$CI$13,$DK$13:$DK$14,$DN$13))))))</formula1>
    </dataValidation>
    <dataValidation type="list" allowBlank="1" showInputMessage="1" showErrorMessage="1" sqref="AC17">
      <formula1>IF($CB$14=$CD$13,$DF$13:$DF$16,IF(OR($CB$14=$CF$13,$CB$14=$CJ$13),$DJ$13:$DJ$14,IF($CB$14=$CH$13,$DI$13:$DI$15,$DO$13)))</formula1>
    </dataValidation>
    <dataValidation type="list" allowBlank="1" showInputMessage="1" showErrorMessage="1" error="Introduce un puesto que corresponda_x000a_" sqref="AC22">
      <formula1>IF($CB$22=$CD$21,$DF$21:$DF$24,IF($CB$22=$CE$21,$DG$21:$DG$23,IF(OR($CB$22=$CF$21,$CB$22=$CG$21),$DH$21:$DH$22,$DL$21)))</formula1>
    </dataValidation>
    <dataValidation type="list" allowBlank="1" showInputMessage="1" showErrorMessage="1" sqref="AC23">
      <formula1>IF($CB$22=$CD$21,$DF$21:$DF$24,IF($CB$22=$CE$21,$DG$21:$DG$23,IF(OR($CB$22=$CF$21,$CB$22=$CG$21),$DH$21:$DH$22,IF($CB$22=$CH$21,$DI$21:$DI$23,(IF($CB$22=$CI$21,$DK$21:$DK$22,$DM$21))))))</formula1>
    </dataValidation>
    <dataValidation type="list" allowBlank="1" showInputMessage="1" showErrorMessage="1" sqref="AC24">
      <formula1>IF($CB$22=$CD$21,$DF$21:$DF$24,IF($CB$22=$CE$21,$DG$21:$DG$23,IF(OR($CB$22=$CF$21,$CB$22=$CJ$21),$DJ$21:$DJ$22,IF($CB$22=$CH$21,$DI$21:$DI$23,(IF($CB$22=$CI$21,$DK$21:$DK$22,$DN$21))))))</formula1>
    </dataValidation>
    <dataValidation type="list" allowBlank="1" showInputMessage="1" showErrorMessage="1" sqref="AC25">
      <formula1>IF($CB$22=$CD$21,$DF$21:$DF$24,IF(OR($CB$22=$CF$21,$CB$22=$CJ$21),$DJ$21:$DJ$22,IF($CB$22=$CH$21,$DI$21:$DI$23,$DO$21)))</formula1>
    </dataValidation>
    <dataValidation type="list" allowBlank="1" showInputMessage="1" showErrorMessage="1" sqref="Q33">
      <formula1>IF($CB$33=$CD$32,$DF$32:$DF$34,IF($CB$33=$CE$32,$DG$32:$DG$33,$DI$32))</formula1>
    </dataValidation>
    <dataValidation type="list" allowBlank="1" showInputMessage="1" showErrorMessage="1" sqref="Q34">
      <formula1>IF($CB$33=$CD$32,$DF$32:$DF$34,IF($CB$33=$CE$32,$DG$32:$DG$33,IF($CB$33=$CF$32,$DH$32:$DH$33,$DJ$32)))</formula1>
    </dataValidation>
    <dataValidation type="list" allowBlank="1" showInputMessage="1" showErrorMessage="1" sqref="Q35:Q36">
      <formula1>IF($CB$33=$CD$32,$DF$32:$DF$34,IF($CB$33=$CE$32,$DK$32,IF($CB$33=$CF$32,$DH$32:$DH$33,$DK$32)))</formula1>
    </dataValidation>
    <dataValidation type="list" allowBlank="1" showInputMessage="1" showErrorMessage="1" sqref="G1">
      <formula1>$BP$39:$BP$51</formula1>
    </dataValidation>
  </dataValidations>
  <pageMargins left="0.7" right="0.7" top="0.75" bottom="0.75" header="0.3" footer="0.3"/>
  <pageSetup paperSize="9" scale="61" orientation="portrait"/>
  <colBreaks count="1" manualBreakCount="1">
    <brk id="27" max="1048575" man="1"/>
  </colBreaks>
  <ignoredErrors>
    <ignoredError sqref="I44:J44 M44:N44" unlockedFormula="1"/>
    <ignoredError sqref="AA27 O4:O10 AA10" emptyCellReference="1"/>
  </ignoredErrors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Equipos!$F$2:$F$11</xm:f>
          </x14:formula1>
          <xm:sqref>B4 B12 B20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 enableFormatConditionsCalculation="0"/>
  <dimension ref="B1:D88"/>
  <sheetViews>
    <sheetView workbookViewId="0">
      <selection activeCell="B67" sqref="B67"/>
    </sheetView>
  </sheetViews>
  <sheetFormatPr baseColWidth="10" defaultColWidth="10.83203125" defaultRowHeight="14" x14ac:dyDescent="0"/>
  <cols>
    <col min="2" max="2" width="25" customWidth="1"/>
    <col min="3" max="3" width="28" customWidth="1"/>
  </cols>
  <sheetData>
    <row r="1" spans="2:4">
      <c r="B1" s="37"/>
      <c r="C1" s="36" t="s">
        <v>176</v>
      </c>
      <c r="D1" s="37" t="s">
        <v>177</v>
      </c>
    </row>
    <row r="2" spans="2:4" ht="19" thickBot="1">
      <c r="B2" s="38" t="s">
        <v>172</v>
      </c>
      <c r="C2" s="37"/>
      <c r="D2" s="37"/>
    </row>
    <row r="3" spans="2:4" ht="15" thickBot="1">
      <c r="B3" s="37" t="s">
        <v>123</v>
      </c>
      <c r="C3" s="39" t="str">
        <f>'COPA AMERICA'!I63</f>
        <v>ESCRIBE TU NOMBRE</v>
      </c>
      <c r="D3" s="37"/>
    </row>
    <row r="4" spans="2:4">
      <c r="B4" s="37"/>
      <c r="C4" s="40" t="s">
        <v>124</v>
      </c>
      <c r="D4" s="37"/>
    </row>
    <row r="5" spans="2:4" ht="18">
      <c r="B5" s="38" t="s">
        <v>17</v>
      </c>
    </row>
    <row r="6" spans="2:4">
      <c r="B6" t="str">
        <f ca="1">CONCATENATE('COPA AMERICA'!I4,"-",'COPA AMERICA'!N4)</f>
        <v>Brasil-Bolivia</v>
      </c>
      <c r="C6" s="171" t="str">
        <f>CONCATENATE(IF('COPA AMERICA'!K4&gt;'COPA AMERICA'!L4,1,IF('COPA AMERICA'!K4&lt;'COPA AMERICA'!L4,2,IF(AND('COPA AMERICA'!K4='COPA AMERICA'!L4,'COPA AMERICA'!K4&lt;&gt;"",'COPA AMERICA'!L4&lt;&gt;""),"X",0))),"|",'COPA AMERICA'!K4,"-",'COPA AMERICA'!L4)</f>
        <v>1|3-0</v>
      </c>
    </row>
    <row r="7" spans="2:4">
      <c r="B7" t="str">
        <f ca="1">CONCATENATE('COPA AMERICA'!I5,"-",'COPA AMERICA'!N5)</f>
        <v>Venezuela-Perú</v>
      </c>
      <c r="C7" s="171" t="str">
        <f>CONCATENATE(IF('COPA AMERICA'!K5&gt;'COPA AMERICA'!L5,1,IF('COPA AMERICA'!K5&lt;'COPA AMERICA'!L5,2,IF(AND('COPA AMERICA'!K5='COPA AMERICA'!L5,'COPA AMERICA'!K5&lt;&gt;"",'COPA AMERICA'!L5&lt;&gt;""),"X",0))),"|",'COPA AMERICA'!K5,"-",'COPA AMERICA'!L5)</f>
        <v>X|0-0</v>
      </c>
    </row>
    <row r="8" spans="2:4">
      <c r="B8" t="str">
        <f ca="1">CONCATENATE('COPA AMERICA'!I6,"-",'COPA AMERICA'!N6)</f>
        <v>Brasil-Venezuela</v>
      </c>
      <c r="C8" s="171" t="str">
        <f>CONCATENATE(IF('COPA AMERICA'!K6&gt;'COPA AMERICA'!L6,1,IF('COPA AMERICA'!K6&lt;'COPA AMERICA'!L6,2,IF(AND('COPA AMERICA'!K6='COPA AMERICA'!L6,'COPA AMERICA'!K6&lt;&gt;"",'COPA AMERICA'!L6&lt;&gt;""),"X",0))),"|",'COPA AMERICA'!K6,"-",'COPA AMERICA'!L6)</f>
        <v>X|0-0</v>
      </c>
    </row>
    <row r="9" spans="2:4">
      <c r="B9" t="str">
        <f ca="1">CONCATENATE('COPA AMERICA'!I7,"-",'COPA AMERICA'!N7)</f>
        <v>Bolivia-Perú</v>
      </c>
      <c r="C9" s="171" t="str">
        <f>CONCATENATE(IF('COPA AMERICA'!K7&gt;'COPA AMERICA'!L7,1,IF('COPA AMERICA'!K7&lt;'COPA AMERICA'!L7,2,IF(AND('COPA AMERICA'!K7='COPA AMERICA'!L7,'COPA AMERICA'!K7&lt;&gt;"",'COPA AMERICA'!L7&lt;&gt;""),"X",0))),"|",'COPA AMERICA'!K7,"-",'COPA AMERICA'!L7)</f>
        <v>2|1-3</v>
      </c>
    </row>
    <row r="10" spans="2:4">
      <c r="B10" t="str">
        <f ca="1">CONCATENATE('COPA AMERICA'!I8,"-",'COPA AMERICA'!N8)</f>
        <v>Perú-Brasil</v>
      </c>
      <c r="C10" s="171" t="str">
        <f>CONCATENATE(IF('COPA AMERICA'!K8&gt;'COPA AMERICA'!L8,1,IF('COPA AMERICA'!K8&lt;'COPA AMERICA'!L8,2,IF(AND('COPA AMERICA'!K8='COPA AMERICA'!L8,'COPA AMERICA'!K8&lt;&gt;"",'COPA AMERICA'!L8&lt;&gt;""),"X",0))),"|",'COPA AMERICA'!K8,"-",'COPA AMERICA'!L8)</f>
        <v>2|0-5</v>
      </c>
    </row>
    <row r="11" spans="2:4">
      <c r="B11" t="str">
        <f ca="1">CONCATENATE('COPA AMERICA'!I9,"-",'COPA AMERICA'!N9)</f>
        <v>Bolivia-Venezuela</v>
      </c>
      <c r="C11" s="171" t="str">
        <f>CONCATENATE(IF('COPA AMERICA'!K9&gt;'COPA AMERICA'!L9,1,IF('COPA AMERICA'!K9&lt;'COPA AMERICA'!L9,2,IF(AND('COPA AMERICA'!K9='COPA AMERICA'!L9,'COPA AMERICA'!K9&lt;&gt;"",'COPA AMERICA'!L9&lt;&gt;""),"X",0))),"|",'COPA AMERICA'!K9,"-",'COPA AMERICA'!L9)</f>
        <v>2|1-3</v>
      </c>
    </row>
    <row r="12" spans="2:4">
      <c r="B12" t="str">
        <f ca="1">CONCATENATE('COPA AMERICA'!I12,"-",'COPA AMERICA'!N12)</f>
        <v>Argentina-Colombia</v>
      </c>
      <c r="C12" s="171" t="str">
        <f>CONCATENATE(IF('COPA AMERICA'!K12&gt;'COPA AMERICA'!L12,1,IF('COPA AMERICA'!K12&lt;'COPA AMERICA'!L12,2,IF(AND('COPA AMERICA'!K12='COPA AMERICA'!L12,'COPA AMERICA'!K12&lt;&gt;"",'COPA AMERICA'!L12&lt;&gt;""),"X",0))),"|",'COPA AMERICA'!K12,"-",'COPA AMERICA'!L12)</f>
        <v>2|0-2</v>
      </c>
    </row>
    <row r="13" spans="2:4">
      <c r="B13" t="str">
        <f ca="1">CONCATENATE('COPA AMERICA'!I13,"-",'COPA AMERICA'!N13)</f>
        <v>Paraguay-Catar</v>
      </c>
      <c r="C13" s="171" t="str">
        <f>CONCATENATE(IF('COPA AMERICA'!K13&gt;'COPA AMERICA'!L13,1,IF('COPA AMERICA'!K13&lt;'COPA AMERICA'!L13,2,IF(AND('COPA AMERICA'!K13='COPA AMERICA'!L13,'COPA AMERICA'!K13&lt;&gt;"",'COPA AMERICA'!L13&lt;&gt;""),"X",0))),"|",'COPA AMERICA'!K13,"-",'COPA AMERICA'!L13)</f>
        <v>X|2-2</v>
      </c>
    </row>
    <row r="14" spans="2:4">
      <c r="B14" t="str">
        <f ca="1">CONCATENATE('COPA AMERICA'!I14,"-",'COPA AMERICA'!N14)</f>
        <v>Argentina-Paraguay</v>
      </c>
      <c r="C14" s="171" t="str">
        <f>CONCATENATE(IF('COPA AMERICA'!K14&gt;'COPA AMERICA'!L14,1,IF('COPA AMERICA'!K14&lt;'COPA AMERICA'!L14,2,IF(AND('COPA AMERICA'!K14='COPA AMERICA'!L14,'COPA AMERICA'!K14&lt;&gt;"",'COPA AMERICA'!L14&lt;&gt;""),"X",0))),"|",'COPA AMERICA'!K14,"-",'COPA AMERICA'!L14)</f>
        <v>X|1-1</v>
      </c>
    </row>
    <row r="15" spans="2:4">
      <c r="B15" t="str">
        <f ca="1">CONCATENATE('COPA AMERICA'!I15,"-",'COPA AMERICA'!N15)</f>
        <v>Colombia-Catar</v>
      </c>
      <c r="C15" s="171" t="str">
        <f>CONCATENATE(IF('COPA AMERICA'!K15&gt;'COPA AMERICA'!L15,1,IF('COPA AMERICA'!K15&lt;'COPA AMERICA'!L15,2,IF(AND('COPA AMERICA'!K15='COPA AMERICA'!L15,'COPA AMERICA'!K15&lt;&gt;"",'COPA AMERICA'!L15&lt;&gt;""),"X",0))),"|",'COPA AMERICA'!K15,"-",'COPA AMERICA'!L15)</f>
        <v>1|1-0</v>
      </c>
    </row>
    <row r="16" spans="2:4">
      <c r="B16" t="str">
        <f ca="1">CONCATENATE('COPA AMERICA'!I16,"-",'COPA AMERICA'!N16)</f>
        <v>Catar-Argentina</v>
      </c>
      <c r="C16" s="171" t="str">
        <f>CONCATENATE(IF('COPA AMERICA'!K16&gt;'COPA AMERICA'!L16,1,IF('COPA AMERICA'!K16&lt;'COPA AMERICA'!L16,2,IF(AND('COPA AMERICA'!K16='COPA AMERICA'!L16,'COPA AMERICA'!K16&lt;&gt;"",'COPA AMERICA'!L16&lt;&gt;""),"X",0))),"|",'COPA AMERICA'!K16,"-",'COPA AMERICA'!L16)</f>
        <v>2|0-2</v>
      </c>
    </row>
    <row r="17" spans="2:4">
      <c r="B17" t="str">
        <f ca="1">CONCATENATE('COPA AMERICA'!I17,"-",'COPA AMERICA'!N17)</f>
        <v>Colombia-Paraguay</v>
      </c>
      <c r="C17" s="171" t="str">
        <f>CONCATENATE(IF('COPA AMERICA'!K17&gt;'COPA AMERICA'!L17,1,IF('COPA AMERICA'!K17&lt;'COPA AMERICA'!L17,2,IF(AND('COPA AMERICA'!K17='COPA AMERICA'!L17,'COPA AMERICA'!K17&lt;&gt;"",'COPA AMERICA'!L17&lt;&gt;""),"X",0))),"|",'COPA AMERICA'!K17,"-",'COPA AMERICA'!L17)</f>
        <v>1|1-0</v>
      </c>
    </row>
    <row r="18" spans="2:4">
      <c r="B18" t="str">
        <f ca="1">CONCATENATE('COPA AMERICA'!I20,"-",'COPA AMERICA'!N20)</f>
        <v>Uruguay-Ecuador</v>
      </c>
      <c r="C18" s="172" t="str">
        <f>CONCATENATE(IF('COPA AMERICA'!K20&gt;'COPA AMERICA'!L20,1,IF('COPA AMERICA'!K20&lt;'COPA AMERICA'!L20,2,IF(AND('COPA AMERICA'!K20='COPA AMERICA'!L20,'COPA AMERICA'!K20&lt;&gt;"",'COPA AMERICA'!L20&lt;&gt;""),"X",0))),"|",'COPA AMERICA'!K20,"-",'COPA AMERICA'!L20)</f>
        <v>1|4-0</v>
      </c>
      <c r="D18" s="41"/>
    </row>
    <row r="19" spans="2:4">
      <c r="B19" t="str">
        <f ca="1">CONCATENATE('COPA AMERICA'!I21,"-",'COPA AMERICA'!N21)</f>
        <v>Japón-Chile</v>
      </c>
      <c r="C19" s="172" t="str">
        <f>CONCATENATE(IF('COPA AMERICA'!K21&gt;'COPA AMERICA'!L21,1,IF('COPA AMERICA'!K21&lt;'COPA AMERICA'!L21,2,IF(AND('COPA AMERICA'!K21='COPA AMERICA'!L21,'COPA AMERICA'!K21&lt;&gt;"",'COPA AMERICA'!L21&lt;&gt;""),"X",0))),"|",'COPA AMERICA'!K21,"-",'COPA AMERICA'!L21)</f>
        <v>2|0-4</v>
      </c>
    </row>
    <row r="20" spans="2:4">
      <c r="B20" t="str">
        <f ca="1">CONCATENATE('COPA AMERICA'!I22,"-",'COPA AMERICA'!N22)</f>
        <v>Uruguay-Japón</v>
      </c>
      <c r="C20" s="172" t="str">
        <f>CONCATENATE(IF('COPA AMERICA'!K22&gt;'COPA AMERICA'!L22,1,IF('COPA AMERICA'!K22&lt;'COPA AMERICA'!L22,2,IF(AND('COPA AMERICA'!K22='COPA AMERICA'!L22,'COPA AMERICA'!K22&lt;&gt;"",'COPA AMERICA'!L22&lt;&gt;""),"X",0))),"|",'COPA AMERICA'!K22,"-",'COPA AMERICA'!L22)</f>
        <v>1|2-0</v>
      </c>
    </row>
    <row r="21" spans="2:4">
      <c r="B21" t="str">
        <f ca="1">CONCATENATE('COPA AMERICA'!I23,"-",'COPA AMERICA'!N23)</f>
        <v>Ecuador-Chile</v>
      </c>
      <c r="C21" s="172" t="str">
        <f>CONCATENATE(IF('COPA AMERICA'!K23&gt;'COPA AMERICA'!L23,1,IF('COPA AMERICA'!K23&lt;'COPA AMERICA'!L23,2,IF(AND('COPA AMERICA'!K23='COPA AMERICA'!L23,'COPA AMERICA'!K23&lt;&gt;"",'COPA AMERICA'!L23&lt;&gt;""),"X",0))),"|",'COPA AMERICA'!K23,"-",'COPA AMERICA'!L23)</f>
        <v>2|1-2</v>
      </c>
    </row>
    <row r="22" spans="2:4">
      <c r="B22" t="str">
        <f ca="1">CONCATENATE('COPA AMERICA'!I24,"-",'COPA AMERICA'!N24)</f>
        <v>Chile-Uruguay</v>
      </c>
      <c r="C22" s="172" t="str">
        <f>CONCATENATE(IF('COPA AMERICA'!K24&gt;'COPA AMERICA'!L24,1,IF('COPA AMERICA'!K24&lt;'COPA AMERICA'!L24,2,IF(AND('COPA AMERICA'!K24='COPA AMERICA'!L24,'COPA AMERICA'!K24&lt;&gt;"",'COPA AMERICA'!L24&lt;&gt;""),"X",0))),"|",'COPA AMERICA'!K24,"-",'COPA AMERICA'!L24)</f>
        <v>2|0-1</v>
      </c>
    </row>
    <row r="23" spans="2:4">
      <c r="B23" t="str">
        <f ca="1">CONCATENATE('COPA AMERICA'!I25,"-",'COPA AMERICA'!N25)</f>
        <v>Ecuador-Japón</v>
      </c>
      <c r="C23" s="172" t="str">
        <f>CONCATENATE(IF('COPA AMERICA'!K25&gt;'COPA AMERICA'!L25,1,IF('COPA AMERICA'!K25&lt;'COPA AMERICA'!L25,2,IF(AND('COPA AMERICA'!K25='COPA AMERICA'!L25,'COPA AMERICA'!K25&lt;&gt;"",'COPA AMERICA'!L25&lt;&gt;""),"X",0))),"|",'COPA AMERICA'!K25,"-",'COPA AMERICA'!L25)</f>
        <v>X|1-1</v>
      </c>
    </row>
    <row r="24" spans="2:4">
      <c r="C24" s="171"/>
    </row>
    <row r="25" spans="2:4" ht="18">
      <c r="B25" s="38" t="s">
        <v>125</v>
      </c>
      <c r="C25" s="171"/>
    </row>
    <row r="26" spans="2:4">
      <c r="B26" s="37" t="s">
        <v>126</v>
      </c>
      <c r="C26" s="171" t="str">
        <f ca="1">IF(SUM('COPA AMERICA'!$T$6:$T$9)=12,'COPA AMERICA'!R6,B26)</f>
        <v>Brasil</v>
      </c>
    </row>
    <row r="27" spans="2:4">
      <c r="B27" s="37" t="s">
        <v>127</v>
      </c>
      <c r="C27" s="171" t="str">
        <f ca="1">IF(SUM('COPA AMERICA'!$T$6:$T$9)=12,'COPA AMERICA'!R7,B27)</f>
        <v>Venezuela</v>
      </c>
    </row>
    <row r="28" spans="2:4">
      <c r="B28" s="37" t="s">
        <v>128</v>
      </c>
      <c r="C28" s="171" t="str">
        <f ca="1">IF(SUM('COPA AMERICA'!$T$6:$T$9)=12,'COPA AMERICA'!R8,B28)</f>
        <v>Perú</v>
      </c>
    </row>
    <row r="29" spans="2:4">
      <c r="B29" s="37" t="s">
        <v>129</v>
      </c>
      <c r="C29" s="171" t="str">
        <f ca="1">IF(SUM('COPA AMERICA'!$T$6:$T$9)=12,'COPA AMERICA'!R9,B29)</f>
        <v>Bolivia</v>
      </c>
    </row>
    <row r="30" spans="2:4">
      <c r="B30" s="37" t="s">
        <v>130</v>
      </c>
      <c r="C30" s="171" t="str">
        <f ca="1">IF(SUM('COPA AMERICA'!$T$14:$T$17)=12,'COPA AMERICA'!R14,B30)</f>
        <v>Colombia</v>
      </c>
    </row>
    <row r="31" spans="2:4">
      <c r="B31" s="37" t="s">
        <v>131</v>
      </c>
      <c r="C31" s="171" t="str">
        <f ca="1">IF(SUM('COPA AMERICA'!$T$14:$T$17)=12,'COPA AMERICA'!R15,B31)</f>
        <v>Argentina</v>
      </c>
    </row>
    <row r="32" spans="2:4">
      <c r="B32" s="37" t="s">
        <v>132</v>
      </c>
      <c r="C32" s="171" t="str">
        <f ca="1">IF(SUM('COPA AMERICA'!$T$14:$T$17)=12,'COPA AMERICA'!R16,B32)</f>
        <v>Paraguay</v>
      </c>
    </row>
    <row r="33" spans="2:3">
      <c r="B33" s="37" t="s">
        <v>133</v>
      </c>
      <c r="C33" s="171" t="str">
        <f ca="1">IF(SUM('COPA AMERICA'!$T$14:$T$17)=12,'COPA AMERICA'!R17,B33)</f>
        <v>Catar</v>
      </c>
    </row>
    <row r="34" spans="2:3">
      <c r="B34" s="37" t="s">
        <v>134</v>
      </c>
      <c r="C34" s="171" t="str">
        <f ca="1">IF(SUM('COPA AMERICA'!$T$22:$T$25)=12,'COPA AMERICA'!R22,B34)</f>
        <v>Uruguay</v>
      </c>
    </row>
    <row r="35" spans="2:3">
      <c r="B35" s="37" t="s">
        <v>135</v>
      </c>
      <c r="C35" s="171" t="str">
        <f ca="1">IF(SUM('COPA AMERICA'!$T$22:$T$25)=12,'COPA AMERICA'!R23,B35)</f>
        <v>Chile</v>
      </c>
    </row>
    <row r="36" spans="2:3">
      <c r="B36" s="37" t="s">
        <v>136</v>
      </c>
      <c r="C36" s="171" t="str">
        <f ca="1">IF(SUM('COPA AMERICA'!$T$22:$T$25)=12,'COPA AMERICA'!R24,B36)</f>
        <v>Ecuador</v>
      </c>
    </row>
    <row r="37" spans="2:3">
      <c r="B37" s="37" t="s">
        <v>137</v>
      </c>
      <c r="C37" s="171" t="str">
        <f ca="1">IF(SUM('COPA AMERICA'!$T$22:$T$25)=12,'COPA AMERICA'!R25,B37)</f>
        <v>Japón</v>
      </c>
    </row>
    <row r="38" spans="2:3">
      <c r="C38" s="171"/>
    </row>
    <row r="39" spans="2:3" ht="18">
      <c r="B39" s="38" t="s">
        <v>138</v>
      </c>
      <c r="C39" s="171"/>
    </row>
    <row r="40" spans="2:3">
      <c r="B40" s="37" t="s">
        <v>139</v>
      </c>
      <c r="C40" s="171" t="str">
        <f ca="1">'COPA AMERICA'!I39</f>
        <v>Brasil</v>
      </c>
    </row>
    <row r="41" spans="2:3">
      <c r="B41" s="37" t="s">
        <v>139</v>
      </c>
      <c r="C41" s="171" t="str">
        <f ca="1">'COPA AMERICA'!I40</f>
        <v>Venezuela</v>
      </c>
    </row>
    <row r="42" spans="2:3">
      <c r="B42" s="37" t="s">
        <v>139</v>
      </c>
      <c r="C42" s="171" t="str">
        <f ca="1">'COPA AMERICA'!I41</f>
        <v>Colombia</v>
      </c>
    </row>
    <row r="43" spans="2:3">
      <c r="B43" s="37" t="s">
        <v>139</v>
      </c>
      <c r="C43" s="171" t="str">
        <f ca="1">'COPA AMERICA'!I42</f>
        <v>Uruguay</v>
      </c>
    </row>
    <row r="44" spans="2:3">
      <c r="B44" s="37" t="s">
        <v>139</v>
      </c>
      <c r="C44" s="171" t="str">
        <f ca="1">'COPA AMERICA'!N39</f>
        <v>Paraguay</v>
      </c>
    </row>
    <row r="45" spans="2:3">
      <c r="B45" s="37" t="s">
        <v>139</v>
      </c>
      <c r="C45" s="171" t="str">
        <f ca="1">'COPA AMERICA'!N40</f>
        <v>Argentina</v>
      </c>
    </row>
    <row r="46" spans="2:3">
      <c r="B46" s="37" t="s">
        <v>139</v>
      </c>
      <c r="C46" s="171" t="str">
        <f ca="1">'COPA AMERICA'!N41</f>
        <v>Chile</v>
      </c>
    </row>
    <row r="47" spans="2:3">
      <c r="B47" s="37" t="s">
        <v>139</v>
      </c>
      <c r="C47" s="171" t="str">
        <f ca="1">'COPA AMERICA'!N42</f>
        <v>Perú</v>
      </c>
    </row>
    <row r="48" spans="2:3">
      <c r="C48" s="171"/>
    </row>
    <row r="49" spans="2:3" ht="18">
      <c r="B49" s="38" t="s">
        <v>140</v>
      </c>
      <c r="C49" s="171"/>
    </row>
    <row r="50" spans="2:3">
      <c r="B50" t="str">
        <f ca="1">CONCATENATE('COPA AMERICA'!I39,"-",'COPA AMERICA'!N39)</f>
        <v>Brasil-Paraguay</v>
      </c>
      <c r="C50" s="173" t="str">
        <f ca="1">CONCATENATE('COPA AMERICA'!I39,"-",'COPA AMERICA'!N39,"· ",IF('COPA AMERICA'!K39&gt;'COPA AMERICA'!L39,1,IF('COPA AMERICA'!K39&lt;'COPA AMERICA'!L39,2,IF(AND('COPA AMERICA'!K39='COPA AMERICA'!L39,'COPA AMERICA'!K39&lt;&gt;"",'COPA AMERICA'!L39&lt;&gt;""),"X",0))),"|",'COPA AMERICA'!K39,"-",'COPA AMERICA'!L39)</f>
        <v>Brasil-Paraguay· X|0-0</v>
      </c>
    </row>
    <row r="51" spans="2:3">
      <c r="B51" t="str">
        <f ca="1">CONCATENATE('COPA AMERICA'!I40,"-",'COPA AMERICA'!N40)</f>
        <v>Venezuela-Argentina</v>
      </c>
      <c r="C51" s="173" t="str">
        <f ca="1">CONCATENATE('COPA AMERICA'!I40,"-",'COPA AMERICA'!N40,"· ",IF('COPA AMERICA'!K40&gt;'COPA AMERICA'!L40,1,IF('COPA AMERICA'!K40&lt;'COPA AMERICA'!L40,2,IF(AND('COPA AMERICA'!K40='COPA AMERICA'!L40,'COPA AMERICA'!K40&lt;&gt;"",'COPA AMERICA'!L40&lt;&gt;""),"X",0))),"|",'COPA AMERICA'!K40,"-",'COPA AMERICA'!L40)</f>
        <v>Venezuela-Argentina· X|0-0</v>
      </c>
    </row>
    <row r="52" spans="2:3">
      <c r="B52" t="str">
        <f ca="1">CONCATENATE('COPA AMERICA'!I41,"-",'COPA AMERICA'!N41)</f>
        <v>Colombia-Chile</v>
      </c>
      <c r="C52" s="173" t="str">
        <f ca="1">CONCATENATE('COPA AMERICA'!I41,"-",'COPA AMERICA'!N41,"· ",IF('COPA AMERICA'!K41&gt;'COPA AMERICA'!L41,1,IF('COPA AMERICA'!K41&lt;'COPA AMERICA'!L41,2,IF(AND('COPA AMERICA'!K41='COPA AMERICA'!L41,'COPA AMERICA'!K41&lt;&gt;"",'COPA AMERICA'!L41&lt;&gt;""),"X",0))),"|",'COPA AMERICA'!K41,"-",'COPA AMERICA'!L41)</f>
        <v>Colombia-Chile· X|0-0</v>
      </c>
    </row>
    <row r="53" spans="2:3">
      <c r="B53" t="str">
        <f ca="1">CONCATENATE('COPA AMERICA'!I42,"-",'COPA AMERICA'!N42)</f>
        <v>Uruguay-Perú</v>
      </c>
      <c r="C53" s="173" t="str">
        <f ca="1">CONCATENATE('COPA AMERICA'!I42,"-",'COPA AMERICA'!N42,"· ",IF('COPA AMERICA'!K42&gt;'COPA AMERICA'!L42,1,IF('COPA AMERICA'!K42&lt;'COPA AMERICA'!L42,2,IF(AND('COPA AMERICA'!K42='COPA AMERICA'!L42,'COPA AMERICA'!K42&lt;&gt;"",'COPA AMERICA'!L42&lt;&gt;""),"X",0))),"|",'COPA AMERICA'!K42,"-",'COPA AMERICA'!L42)</f>
        <v>Uruguay-Perú· X|0-0</v>
      </c>
    </row>
    <row r="54" spans="2:3">
      <c r="C54" s="171"/>
    </row>
    <row r="55" spans="2:3" ht="18">
      <c r="B55" s="38" t="s">
        <v>141</v>
      </c>
      <c r="C55" s="171"/>
    </row>
    <row r="56" spans="2:3">
      <c r="B56" s="37" t="s">
        <v>142</v>
      </c>
      <c r="C56" s="171" t="str">
        <f>'COPA AMERICA'!I45</f>
        <v>WC1</v>
      </c>
    </row>
    <row r="57" spans="2:3">
      <c r="B57" s="37" t="s">
        <v>142</v>
      </c>
      <c r="C57" s="171" t="str">
        <f>'COPA AMERICA'!I46</f>
        <v>WC3</v>
      </c>
    </row>
    <row r="58" spans="2:3">
      <c r="B58" s="37" t="s">
        <v>142</v>
      </c>
      <c r="C58" s="171" t="str">
        <f>'COPA AMERICA'!N45</f>
        <v>WC2</v>
      </c>
    </row>
    <row r="59" spans="2:3">
      <c r="B59" s="37" t="s">
        <v>142</v>
      </c>
      <c r="C59" s="171" t="str">
        <f>'COPA AMERICA'!N46</f>
        <v>WC4</v>
      </c>
    </row>
    <row r="60" spans="2:3">
      <c r="C60" s="171"/>
    </row>
    <row r="61" spans="2:3" ht="18">
      <c r="B61" s="38" t="s">
        <v>143</v>
      </c>
      <c r="C61" s="171"/>
    </row>
    <row r="62" spans="2:3">
      <c r="B62" t="str">
        <f>CONCATENATE('COPA AMERICA'!I45,"-",'COPA AMERICA'!N45)</f>
        <v>WC1-WC2</v>
      </c>
      <c r="C62" s="173" t="str">
        <f>CONCATENATE('COPA AMERICA'!I45,"-",'COPA AMERICA'!N45,"· ",IF('COPA AMERICA'!K45&gt;'COPA AMERICA'!L45,1,IF('COPA AMERICA'!K45&lt;'COPA AMERICA'!L45,2,IF(AND('COPA AMERICA'!K45='COPA AMERICA'!L45,'COPA AMERICA'!K45&lt;&gt;"",'COPA AMERICA'!L45&lt;&gt;""),"X",0))),"|",'COPA AMERICA'!K45,"-",'COPA AMERICA'!L45)</f>
        <v>WC1-WC2· X|0-0</v>
      </c>
    </row>
    <row r="63" spans="2:3">
      <c r="B63" t="str">
        <f>CONCATENATE('COPA AMERICA'!I46,"-",'COPA AMERICA'!N46)</f>
        <v>WC3-WC4</v>
      </c>
      <c r="C63" s="173" t="str">
        <f>CONCATENATE('COPA AMERICA'!I46,"-",'COPA AMERICA'!N46,"· ",IF('COPA AMERICA'!K46&gt;'COPA AMERICA'!L46,1,IF('COPA AMERICA'!K46&lt;'COPA AMERICA'!L46,2,IF(AND('COPA AMERICA'!K46='COPA AMERICA'!L46,'COPA AMERICA'!K46&lt;&gt;"",'COPA AMERICA'!L46&lt;&gt;""),"X",0))),"|",'COPA AMERICA'!K46,"-",'COPA AMERICA'!L46)</f>
        <v>WC3-WC4· X|0-0</v>
      </c>
    </row>
    <row r="64" spans="2:3">
      <c r="C64" s="171"/>
    </row>
    <row r="65" spans="2:3" ht="18">
      <c r="B65" s="38" t="s">
        <v>38</v>
      </c>
      <c r="C65" s="171"/>
    </row>
    <row r="66" spans="2:3">
      <c r="B66" s="37" t="s">
        <v>144</v>
      </c>
      <c r="C66" s="171" t="str">
        <f>'COPA AMERICA'!I49</f>
        <v>LS1</v>
      </c>
    </row>
    <row r="67" spans="2:3">
      <c r="B67" s="37" t="s">
        <v>145</v>
      </c>
      <c r="C67" s="171" t="str">
        <f>'COPA AMERICA'!N49</f>
        <v>LS2</v>
      </c>
    </row>
    <row r="68" spans="2:3">
      <c r="C68" s="171"/>
    </row>
    <row r="69" spans="2:3" ht="18">
      <c r="B69" s="38" t="s">
        <v>146</v>
      </c>
      <c r="C69" s="171"/>
    </row>
    <row r="70" spans="2:3">
      <c r="B70" t="str">
        <f>CONCATENATE('COPA AMERICA'!I49,"-",'COPA AMERICA'!N49)</f>
        <v>LS1-LS2</v>
      </c>
      <c r="C70" s="173" t="str">
        <f>CONCATENATE('COPA AMERICA'!I49,"-",'COPA AMERICA'!N49,"· ",IF('COPA AMERICA'!K49&gt;'COPA AMERICA'!L49,1,IF('COPA AMERICA'!K49&lt;'COPA AMERICA'!L49,2,IF(AND('COPA AMERICA'!K49='COPA AMERICA'!L49,'COPA AMERICA'!K49&lt;&gt;"",'COPA AMERICA'!L49&lt;&gt;""),"X",0))),"|",'COPA AMERICA'!K49,"-",'COPA AMERICA'!L49)</f>
        <v>LS1-LS2· 0|-</v>
      </c>
    </row>
    <row r="71" spans="2:3">
      <c r="C71" s="171"/>
    </row>
    <row r="72" spans="2:3" ht="18">
      <c r="B72" s="38" t="s">
        <v>147</v>
      </c>
      <c r="C72" s="171"/>
    </row>
    <row r="73" spans="2:3">
      <c r="B73" s="37" t="s">
        <v>148</v>
      </c>
      <c r="C73" s="171" t="str">
        <f>'COPA AMERICA'!I52</f>
        <v>WS1</v>
      </c>
    </row>
    <row r="74" spans="2:3">
      <c r="B74" s="37" t="s">
        <v>148</v>
      </c>
      <c r="C74" s="171" t="str">
        <f>'COPA AMERICA'!N52</f>
        <v>WS2</v>
      </c>
    </row>
    <row r="75" spans="2:3">
      <c r="C75" s="171"/>
    </row>
    <row r="76" spans="2:3" ht="18">
      <c r="B76" s="38" t="s">
        <v>149</v>
      </c>
      <c r="C76" s="171"/>
    </row>
    <row r="77" spans="2:3">
      <c r="B77" t="str">
        <f>CONCATENATE('COPA AMERICA'!I52,"-",'COPA AMERICA'!N52)</f>
        <v>WS1-WS2</v>
      </c>
      <c r="C77" s="173" t="str">
        <f>CONCATENATE('COPA AMERICA'!I52,"-",'COPA AMERICA'!N52,"· ",IF('COPA AMERICA'!K52&gt;'COPA AMERICA'!L52,1,IF('COPA AMERICA'!K52&lt;'COPA AMERICA'!L52,2,IF(AND('COPA AMERICA'!K52='COPA AMERICA'!L52,'COPA AMERICA'!K52&lt;&gt;"",'COPA AMERICA'!L52&lt;&gt;""),"X",0))),"|",'COPA AMERICA'!K52,"-",'COPA AMERICA'!L52)</f>
        <v>WS1-WS2· 0|-</v>
      </c>
    </row>
    <row r="78" spans="2:3">
      <c r="B78" s="37"/>
      <c r="C78" s="171"/>
    </row>
    <row r="79" spans="2:3" ht="18">
      <c r="B79" s="38" t="s">
        <v>150</v>
      </c>
      <c r="C79" s="171"/>
    </row>
    <row r="80" spans="2:3">
      <c r="B80" s="37" t="str">
        <f>'COPA AMERICA'!E55</f>
        <v>Campeón</v>
      </c>
      <c r="C80" s="171" t="str">
        <f>'COPA AMERICA'!I55</f>
        <v>WF</v>
      </c>
    </row>
    <row r="81" spans="2:3">
      <c r="B81" s="37" t="str">
        <f>'COPA AMERICA'!E56</f>
        <v>Subcampeón</v>
      </c>
      <c r="C81" s="171" t="str">
        <f>'COPA AMERICA'!I56</f>
        <v>LF</v>
      </c>
    </row>
    <row r="82" spans="2:3">
      <c r="B82" s="37" t="str">
        <f>'COPA AMERICA'!E57</f>
        <v>3º Puesto</v>
      </c>
      <c r="C82" s="171" t="str">
        <f>'COPA AMERICA'!I57</f>
        <v>W34</v>
      </c>
    </row>
    <row r="83" spans="2:3">
      <c r="B83" s="37" t="str">
        <f>'COPA AMERICA'!E59</f>
        <v>Goleador del torneo</v>
      </c>
      <c r="C83" s="171">
        <f>'COPA AMERICA'!I59</f>
        <v>0</v>
      </c>
    </row>
    <row r="84" spans="2:3">
      <c r="B84" s="37" t="str">
        <f>'COPA AMERICA'!E60</f>
        <v>Mejor jugador del torneo</v>
      </c>
      <c r="C84" s="171">
        <f>'COPA AMERICA'!I60</f>
        <v>0</v>
      </c>
    </row>
    <row r="85" spans="2:3">
      <c r="B85" s="37" t="str">
        <f>'COPA AMERICA'!E61</f>
        <v>Mejor portero del torneo</v>
      </c>
      <c r="C85" s="171">
        <f>'COPA AMERICA'!I61</f>
        <v>0</v>
      </c>
    </row>
    <row r="86" spans="2:3">
      <c r="B86" s="33"/>
      <c r="C86" s="32"/>
    </row>
    <row r="87" spans="2:3">
      <c r="B87" s="33"/>
      <c r="C87" s="32"/>
    </row>
    <row r="88" spans="2:3">
      <c r="B88" s="33"/>
      <c r="C88" s="32"/>
    </row>
  </sheetData>
  <sheetProtection algorithmName="SHA-512" hashValue="O14w4tHM7KWbD5ivyB0zH5qJbBL6d8rvrAiWlkUDHuaatskMSf0jsEzNwAxKSVJiunPAQqGIYFz7iqObM1+rEQ==" saltValue="aXzJOJFq3xNQfIxl0A/OIA==" spinCount="100000" selectLockedCells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 enableFormatConditionsCalculation="0">
    <tabColor theme="4"/>
  </sheetPr>
  <dimension ref="A1:AK82"/>
  <sheetViews>
    <sheetView view="pageLayout" workbookViewId="0"/>
  </sheetViews>
  <sheetFormatPr baseColWidth="10" defaultColWidth="0" defaultRowHeight="14" zeroHeight="1" x14ac:dyDescent="0"/>
  <cols>
    <col min="1" max="1" width="0.83203125" style="1" customWidth="1"/>
    <col min="2" max="2" width="3.33203125" style="1" bestFit="1" customWidth="1"/>
    <col min="3" max="3" width="11.33203125" style="1" customWidth="1"/>
    <col min="4" max="4" width="3.1640625" style="1" bestFit="1" customWidth="1"/>
    <col min="5" max="5" width="3.1640625" style="1" customWidth="1"/>
    <col min="6" max="6" width="3.83203125" style="1" customWidth="1"/>
    <col min="7" max="7" width="3.1640625" style="1" customWidth="1"/>
    <col min="8" max="8" width="2.1640625" style="1" bestFit="1" customWidth="1"/>
    <col min="9" max="10" width="3.1640625" style="1" customWidth="1"/>
    <col min="11" max="11" width="3" style="1" customWidth="1"/>
    <col min="12" max="12" width="1.5" style="1" customWidth="1"/>
    <col min="13" max="13" width="3.33203125" style="1" bestFit="1" customWidth="1"/>
    <col min="14" max="14" width="9.6640625" style="1" customWidth="1"/>
    <col min="15" max="15" width="4.1640625" style="1" customWidth="1"/>
    <col min="16" max="17" width="3.1640625" style="1" customWidth="1"/>
    <col min="18" max="19" width="3.1640625" style="32" customWidth="1"/>
    <col min="20" max="20" width="3.33203125" style="32" customWidth="1"/>
    <col min="21" max="22" width="3" style="32" bestFit="1" customWidth="1"/>
    <col min="23" max="23" width="1.83203125" style="32" customWidth="1"/>
    <col min="24" max="24" width="3.33203125" style="32" bestFit="1" customWidth="1"/>
    <col min="25" max="25" width="9.83203125" style="32" customWidth="1"/>
    <col min="26" max="27" width="3.1640625" style="32" customWidth="1"/>
    <col min="28" max="28" width="3.33203125" style="32" customWidth="1"/>
    <col min="29" max="29" width="2" style="32" customWidth="1"/>
    <col min="30" max="30" width="2.5" style="32" customWidth="1"/>
    <col min="31" max="31" width="3.1640625" style="32" customWidth="1"/>
    <col min="32" max="33" width="2.83203125" style="32" customWidth="1"/>
    <col min="34" max="34" width="4.1640625" style="32" customWidth="1"/>
    <col min="35" max="35" width="0.83203125" style="32" customWidth="1"/>
    <col min="36" max="37" width="11.5" style="32" hidden="1" customWidth="1"/>
    <col min="38" max="16384" width="11.5" hidden="1"/>
  </cols>
  <sheetData>
    <row r="1" spans="2:37">
      <c r="C1" s="129">
        <f ca="1">TODAY()</f>
        <v>43641</v>
      </c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/>
      <c r="AK1"/>
    </row>
    <row r="2" spans="2:37"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/>
      <c r="AK2"/>
    </row>
    <row r="3" spans="2:37" ht="9" customHeight="1"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/>
      <c r="AK3"/>
    </row>
    <row r="4" spans="2:37"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/>
      <c r="AK4"/>
    </row>
    <row r="5" spans="2:37"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/>
      <c r="AK5"/>
    </row>
    <row r="6" spans="2:37">
      <c r="B6" s="23"/>
      <c r="C6" s="463" t="s">
        <v>151</v>
      </c>
      <c r="D6" s="463"/>
      <c r="E6" s="463"/>
      <c r="F6" s="463"/>
      <c r="G6" s="463"/>
      <c r="H6" s="463"/>
      <c r="I6" s="463"/>
      <c r="J6" s="27"/>
      <c r="K6" s="27"/>
      <c r="L6" s="27"/>
      <c r="M6" s="27"/>
      <c r="N6" s="463" t="s">
        <v>152</v>
      </c>
      <c r="O6" s="463"/>
      <c r="P6" s="463"/>
      <c r="Q6" s="463"/>
      <c r="R6" s="463"/>
      <c r="S6" s="463"/>
      <c r="T6" s="463"/>
      <c r="U6" s="27"/>
      <c r="V6" s="27"/>
      <c r="W6" s="27"/>
      <c r="X6" s="27"/>
      <c r="Y6" s="463" t="s">
        <v>153</v>
      </c>
      <c r="Z6" s="463"/>
      <c r="AA6" s="463"/>
      <c r="AB6" s="463"/>
      <c r="AC6" s="463"/>
      <c r="AD6" s="463"/>
      <c r="AE6" s="463"/>
      <c r="AF6" s="23"/>
      <c r="AG6" s="23"/>
      <c r="AH6" s="1"/>
      <c r="AI6" s="1"/>
      <c r="AJ6"/>
      <c r="AK6"/>
    </row>
    <row r="7" spans="2:37">
      <c r="B7" s="467" t="s">
        <v>82</v>
      </c>
      <c r="C7" s="30" t="str">
        <f ca="1">'COPA AMERICA'!I4</f>
        <v>Brasil</v>
      </c>
      <c r="D7" s="28">
        <f>IF(ISBLANK('COPA AMERICA'!K4),"",'COPA AMERICA'!K4)</f>
        <v>3</v>
      </c>
      <c r="E7" s="28">
        <f>IF(ISBLANK('COPA AMERICA'!L4),"",'COPA AMERICA'!L4)</f>
        <v>0</v>
      </c>
      <c r="F7" s="465" t="str">
        <f ca="1">'COPA AMERICA'!N4</f>
        <v>Bolivia</v>
      </c>
      <c r="G7" s="465"/>
      <c r="H7" s="465"/>
      <c r="I7" s="465"/>
      <c r="J7" s="23"/>
      <c r="K7" s="23"/>
      <c r="L7" s="23"/>
      <c r="M7" s="467" t="s">
        <v>82</v>
      </c>
      <c r="N7" s="30" t="str">
        <f ca="1">'COPA AMERICA'!I12</f>
        <v>Argentina</v>
      </c>
      <c r="O7" s="28">
        <f>IF(ISBLANK('COPA AMERICA'!K12),"",'COPA AMERICA'!K12)</f>
        <v>0</v>
      </c>
      <c r="P7" s="28">
        <f>IF(ISBLANK('COPA AMERICA'!L12),"",'COPA AMERICA'!L12)</f>
        <v>2</v>
      </c>
      <c r="Q7" s="465" t="str">
        <f ca="1">'COPA AMERICA'!N12</f>
        <v>Colombia</v>
      </c>
      <c r="R7" s="465"/>
      <c r="S7" s="465"/>
      <c r="T7" s="465"/>
      <c r="U7" s="23"/>
      <c r="V7" s="23"/>
      <c r="W7" s="23"/>
      <c r="X7" s="467" t="s">
        <v>82</v>
      </c>
      <c r="Y7" s="30" t="str">
        <f ca="1">'COPA AMERICA'!I20</f>
        <v>Uruguay</v>
      </c>
      <c r="Z7" s="28">
        <f>IF(ISBLANK('COPA AMERICA'!K20),"",'COPA AMERICA'!K20)</f>
        <v>4</v>
      </c>
      <c r="AA7" s="28">
        <f>IF(ISBLANK('COPA AMERICA'!L20),"",'COPA AMERICA'!L20)</f>
        <v>0</v>
      </c>
      <c r="AB7" s="465" t="str">
        <f ca="1">'COPA AMERICA'!N20</f>
        <v>Ecuador</v>
      </c>
      <c r="AC7" s="465"/>
      <c r="AD7" s="465"/>
      <c r="AE7" s="465"/>
      <c r="AF7" s="23"/>
      <c r="AG7" s="23"/>
      <c r="AH7" s="1"/>
      <c r="AI7" s="1"/>
      <c r="AJ7"/>
      <c r="AK7"/>
    </row>
    <row r="8" spans="2:37">
      <c r="B8" s="467"/>
      <c r="C8" s="42" t="str">
        <f ca="1">'COPA AMERICA'!I5</f>
        <v>Venezuela</v>
      </c>
      <c r="D8" s="29">
        <f>IF(ISBLANK('COPA AMERICA'!K5),"",'COPA AMERICA'!K5)</f>
        <v>0</v>
      </c>
      <c r="E8" s="29">
        <f>IF(ISBLANK('COPA AMERICA'!L5),"",'COPA AMERICA'!L5)</f>
        <v>0</v>
      </c>
      <c r="F8" s="464" t="str">
        <f ca="1">'COPA AMERICA'!N5</f>
        <v>Perú</v>
      </c>
      <c r="G8" s="464"/>
      <c r="H8" s="464"/>
      <c r="I8" s="464"/>
      <c r="J8" s="23"/>
      <c r="K8" s="23"/>
      <c r="L8" s="23"/>
      <c r="M8" s="467"/>
      <c r="N8" s="31" t="str">
        <f ca="1">'COPA AMERICA'!I13</f>
        <v>Paraguay</v>
      </c>
      <c r="O8" s="29">
        <f>IF(ISBLANK('COPA AMERICA'!K13),"",'COPA AMERICA'!K13)</f>
        <v>2</v>
      </c>
      <c r="P8" s="29">
        <f>IF(ISBLANK('COPA AMERICA'!L13),"",'COPA AMERICA'!L13)</f>
        <v>2</v>
      </c>
      <c r="Q8" s="461" t="str">
        <f ca="1">'COPA AMERICA'!N13</f>
        <v>Catar</v>
      </c>
      <c r="R8" s="461"/>
      <c r="S8" s="461"/>
      <c r="T8" s="461"/>
      <c r="U8" s="23"/>
      <c r="V8" s="23"/>
      <c r="W8" s="23"/>
      <c r="X8" s="467"/>
      <c r="Y8" s="31" t="str">
        <f ca="1">'COPA AMERICA'!I21</f>
        <v>Japón</v>
      </c>
      <c r="Z8" s="29">
        <f>IF(ISBLANK('COPA AMERICA'!K21),"",'COPA AMERICA'!K21)</f>
        <v>0</v>
      </c>
      <c r="AA8" s="29">
        <f>IF(ISBLANK('COPA AMERICA'!L21),"",'COPA AMERICA'!L21)</f>
        <v>4</v>
      </c>
      <c r="AB8" s="461" t="str">
        <f ca="1">'COPA AMERICA'!N21</f>
        <v>Chile</v>
      </c>
      <c r="AC8" s="461"/>
      <c r="AD8" s="461"/>
      <c r="AE8" s="461"/>
      <c r="AF8" s="23"/>
      <c r="AG8" s="23"/>
      <c r="AH8" s="1"/>
      <c r="AI8" s="1"/>
      <c r="AJ8"/>
      <c r="AK8"/>
    </row>
    <row r="9" spans="2:37">
      <c r="B9" s="466" t="s">
        <v>83</v>
      </c>
      <c r="C9" s="30" t="str">
        <f ca="1">'COPA AMERICA'!I6</f>
        <v>Brasil</v>
      </c>
      <c r="D9" s="28">
        <f>IF(ISBLANK('COPA AMERICA'!K6),"",'COPA AMERICA'!K6)</f>
        <v>0</v>
      </c>
      <c r="E9" s="28">
        <f>IF(ISBLANK('COPA AMERICA'!L6),"",'COPA AMERICA'!L6)</f>
        <v>0</v>
      </c>
      <c r="F9" s="465" t="str">
        <f ca="1">'COPA AMERICA'!N6</f>
        <v>Venezuela</v>
      </c>
      <c r="G9" s="465"/>
      <c r="H9" s="465"/>
      <c r="I9" s="465"/>
      <c r="J9" s="23"/>
      <c r="K9" s="23"/>
      <c r="L9" s="23"/>
      <c r="M9" s="466" t="s">
        <v>83</v>
      </c>
      <c r="N9" s="30" t="str">
        <f ca="1">'COPA AMERICA'!I14</f>
        <v>Argentina</v>
      </c>
      <c r="O9" s="28">
        <f>IF(ISBLANK('COPA AMERICA'!K14),"",'COPA AMERICA'!K14)</f>
        <v>1</v>
      </c>
      <c r="P9" s="28">
        <f>IF(ISBLANK('COPA AMERICA'!L14),"",'COPA AMERICA'!L14)</f>
        <v>1</v>
      </c>
      <c r="Q9" s="465" t="str">
        <f ca="1">'COPA AMERICA'!N14</f>
        <v>Paraguay</v>
      </c>
      <c r="R9" s="465"/>
      <c r="S9" s="465"/>
      <c r="T9" s="465"/>
      <c r="U9" s="23"/>
      <c r="V9" s="23"/>
      <c r="W9" s="23"/>
      <c r="X9" s="466" t="s">
        <v>83</v>
      </c>
      <c r="Y9" s="30" t="str">
        <f ca="1">'COPA AMERICA'!I22</f>
        <v>Uruguay</v>
      </c>
      <c r="Z9" s="28">
        <f>IF(ISBLANK('COPA AMERICA'!K22),"",'COPA AMERICA'!K22)</f>
        <v>2</v>
      </c>
      <c r="AA9" s="28">
        <f>IF(ISBLANK('COPA AMERICA'!L22),"",'COPA AMERICA'!L22)</f>
        <v>0</v>
      </c>
      <c r="AB9" s="462" t="str">
        <f ca="1">'COPA AMERICA'!N22</f>
        <v>Japón</v>
      </c>
      <c r="AC9" s="462"/>
      <c r="AD9" s="462"/>
      <c r="AE9" s="462"/>
      <c r="AF9" s="23"/>
      <c r="AG9" s="23"/>
      <c r="AH9" s="1"/>
      <c r="AI9" s="1"/>
      <c r="AJ9"/>
      <c r="AK9"/>
    </row>
    <row r="10" spans="2:37">
      <c r="B10" s="466"/>
      <c r="C10" s="42" t="str">
        <f ca="1">'COPA AMERICA'!I7</f>
        <v>Bolivia</v>
      </c>
      <c r="D10" s="29">
        <f>IF(ISBLANK('COPA AMERICA'!K7),"",'COPA AMERICA'!K7)</f>
        <v>1</v>
      </c>
      <c r="E10" s="29">
        <f>IF(ISBLANK('COPA AMERICA'!L7),"",'COPA AMERICA'!L7)</f>
        <v>3</v>
      </c>
      <c r="F10" s="464" t="str">
        <f ca="1">'COPA AMERICA'!N7</f>
        <v>Perú</v>
      </c>
      <c r="G10" s="464"/>
      <c r="H10" s="464"/>
      <c r="I10" s="464"/>
      <c r="J10" s="23"/>
      <c r="K10" s="23"/>
      <c r="L10" s="23"/>
      <c r="M10" s="466"/>
      <c r="N10" s="31" t="str">
        <f ca="1">'COPA AMERICA'!I15</f>
        <v>Colombia</v>
      </c>
      <c r="O10" s="29">
        <f>IF(ISBLANK('COPA AMERICA'!K15),"",'COPA AMERICA'!K15)</f>
        <v>1</v>
      </c>
      <c r="P10" s="29">
        <f>IF(ISBLANK('COPA AMERICA'!L15),"",'COPA AMERICA'!L15)</f>
        <v>0</v>
      </c>
      <c r="Q10" s="461" t="str">
        <f ca="1">'COPA AMERICA'!N15</f>
        <v>Catar</v>
      </c>
      <c r="R10" s="461"/>
      <c r="S10" s="461"/>
      <c r="T10" s="461"/>
      <c r="U10" s="23"/>
      <c r="V10" s="23"/>
      <c r="W10" s="23"/>
      <c r="X10" s="466"/>
      <c r="Y10" s="31" t="str">
        <f ca="1">'COPA AMERICA'!I23</f>
        <v>Ecuador</v>
      </c>
      <c r="Z10" s="29">
        <f>IF(ISBLANK('COPA AMERICA'!K23),"",'COPA AMERICA'!K23)</f>
        <v>1</v>
      </c>
      <c r="AA10" s="29">
        <f>IF(ISBLANK('COPA AMERICA'!L23),"",'COPA AMERICA'!L23)</f>
        <v>2</v>
      </c>
      <c r="AB10" s="461" t="str">
        <f ca="1">'COPA AMERICA'!N23</f>
        <v>Chile</v>
      </c>
      <c r="AC10" s="461"/>
      <c r="AD10" s="461"/>
      <c r="AE10" s="461"/>
      <c r="AF10" s="23"/>
      <c r="AG10" s="23"/>
      <c r="AH10" s="1"/>
      <c r="AI10" s="1"/>
      <c r="AJ10"/>
      <c r="AK10"/>
    </row>
    <row r="11" spans="2:37">
      <c r="B11" s="466" t="s">
        <v>84</v>
      </c>
      <c r="C11" s="30" t="str">
        <f ca="1">'COPA AMERICA'!I8</f>
        <v>Perú</v>
      </c>
      <c r="D11" s="28">
        <f>IF(ISBLANK('COPA AMERICA'!K8),"",'COPA AMERICA'!K8)</f>
        <v>0</v>
      </c>
      <c r="E11" s="28">
        <f>IF(ISBLANK('COPA AMERICA'!L8),"",'COPA AMERICA'!L8)</f>
        <v>5</v>
      </c>
      <c r="F11" s="465" t="str">
        <f ca="1">'COPA AMERICA'!N8</f>
        <v>Brasil</v>
      </c>
      <c r="G11" s="465"/>
      <c r="H11" s="465"/>
      <c r="I11" s="465"/>
      <c r="J11" s="23"/>
      <c r="K11" s="23"/>
      <c r="L11" s="23"/>
      <c r="M11" s="466" t="s">
        <v>84</v>
      </c>
      <c r="N11" s="30" t="str">
        <f ca="1">'COPA AMERICA'!I16</f>
        <v>Catar</v>
      </c>
      <c r="O11" s="28">
        <f>IF(ISBLANK('COPA AMERICA'!K16),"",'COPA AMERICA'!K16)</f>
        <v>0</v>
      </c>
      <c r="P11" s="28">
        <f>IF(ISBLANK('COPA AMERICA'!L16),"",'COPA AMERICA'!L16)</f>
        <v>2</v>
      </c>
      <c r="Q11" s="465" t="str">
        <f ca="1">'COPA AMERICA'!N16</f>
        <v>Argentina</v>
      </c>
      <c r="R11" s="465"/>
      <c r="S11" s="465"/>
      <c r="T11" s="465"/>
      <c r="U11" s="23"/>
      <c r="V11" s="23"/>
      <c r="W11" s="23"/>
      <c r="X11" s="466" t="s">
        <v>84</v>
      </c>
      <c r="Y11" s="30" t="str">
        <f ca="1">'COPA AMERICA'!I24</f>
        <v>Chile</v>
      </c>
      <c r="Z11" s="28">
        <f>IF(ISBLANK('COPA AMERICA'!K24),"",'COPA AMERICA'!K24)</f>
        <v>0</v>
      </c>
      <c r="AA11" s="28">
        <f>IF(ISBLANK('COPA AMERICA'!L24),"",'COPA AMERICA'!L24)</f>
        <v>1</v>
      </c>
      <c r="AB11" s="462" t="str">
        <f ca="1">'COPA AMERICA'!N24</f>
        <v>Uruguay</v>
      </c>
      <c r="AC11" s="462"/>
      <c r="AD11" s="462"/>
      <c r="AE11" s="462"/>
      <c r="AF11" s="23"/>
      <c r="AG11" s="23"/>
      <c r="AH11" s="1"/>
      <c r="AI11" s="1"/>
      <c r="AJ11"/>
      <c r="AK11"/>
    </row>
    <row r="12" spans="2:37">
      <c r="B12" s="466"/>
      <c r="C12" s="42" t="str">
        <f ca="1">'COPA AMERICA'!I9</f>
        <v>Bolivia</v>
      </c>
      <c r="D12" s="29">
        <f>IF(ISBLANK('COPA AMERICA'!K9),"",'COPA AMERICA'!K9)</f>
        <v>1</v>
      </c>
      <c r="E12" s="29">
        <f>IF(ISBLANK('COPA AMERICA'!L9),"",'COPA AMERICA'!L9)</f>
        <v>3</v>
      </c>
      <c r="F12" s="464" t="str">
        <f ca="1">'COPA AMERICA'!N9</f>
        <v>Venezuela</v>
      </c>
      <c r="G12" s="464"/>
      <c r="H12" s="464"/>
      <c r="I12" s="464"/>
      <c r="J12" s="23"/>
      <c r="K12" s="23"/>
      <c r="L12" s="23"/>
      <c r="M12" s="466"/>
      <c r="N12" s="31" t="str">
        <f ca="1">'COPA AMERICA'!I17</f>
        <v>Colombia</v>
      </c>
      <c r="O12" s="29">
        <f>IF(ISBLANK('COPA AMERICA'!K17),"",'COPA AMERICA'!K17)</f>
        <v>1</v>
      </c>
      <c r="P12" s="29">
        <f>IF(ISBLANK('COPA AMERICA'!L17),"",'COPA AMERICA'!L17)</f>
        <v>0</v>
      </c>
      <c r="Q12" s="461" t="str">
        <f ca="1">'COPA AMERICA'!N17</f>
        <v>Paraguay</v>
      </c>
      <c r="R12" s="461"/>
      <c r="S12" s="461"/>
      <c r="T12" s="461"/>
      <c r="U12" s="23"/>
      <c r="V12" s="23"/>
      <c r="W12" s="23"/>
      <c r="X12" s="466"/>
      <c r="Y12" s="31" t="str">
        <f ca="1">'COPA AMERICA'!I25</f>
        <v>Ecuador</v>
      </c>
      <c r="Z12" s="29">
        <f>IF(ISBLANK('COPA AMERICA'!K25),"",'COPA AMERICA'!K25)</f>
        <v>1</v>
      </c>
      <c r="AA12" s="29">
        <f>IF(ISBLANK('COPA AMERICA'!L25),"",'COPA AMERICA'!L25)</f>
        <v>1</v>
      </c>
      <c r="AB12" s="461" t="str">
        <f ca="1">'COPA AMERICA'!N25</f>
        <v>Japón</v>
      </c>
      <c r="AC12" s="461"/>
      <c r="AD12" s="461"/>
      <c r="AE12" s="461"/>
      <c r="AF12" s="23"/>
      <c r="AG12" s="23"/>
      <c r="AH12" s="1"/>
      <c r="AI12" s="1"/>
      <c r="AJ12"/>
      <c r="AK12"/>
    </row>
    <row r="13" spans="2:37"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1"/>
      <c r="AI13" s="1"/>
      <c r="AJ13"/>
      <c r="AK13"/>
    </row>
    <row r="14" spans="2:37">
      <c r="B14" s="130"/>
      <c r="C14" s="131" t="s">
        <v>154</v>
      </c>
      <c r="D14" s="131"/>
      <c r="E14" s="131"/>
      <c r="F14" s="131"/>
      <c r="G14" s="131"/>
      <c r="H14" s="131"/>
      <c r="I14" s="131"/>
      <c r="J14" s="131"/>
      <c r="K14" s="132"/>
      <c r="L14" s="23"/>
      <c r="M14" s="133"/>
      <c r="N14" s="134" t="s">
        <v>155</v>
      </c>
      <c r="O14" s="134"/>
      <c r="P14" s="134"/>
      <c r="Q14" s="134"/>
      <c r="R14" s="134"/>
      <c r="S14" s="134"/>
      <c r="T14" s="134"/>
      <c r="U14" s="134"/>
      <c r="V14" s="135"/>
      <c r="W14" s="23"/>
      <c r="X14" s="136"/>
      <c r="Y14" s="137" t="s">
        <v>156</v>
      </c>
      <c r="Z14" s="137"/>
      <c r="AA14" s="137"/>
      <c r="AB14" s="137"/>
      <c r="AC14" s="137"/>
      <c r="AD14" s="137"/>
      <c r="AE14" s="137"/>
      <c r="AF14" s="137"/>
      <c r="AG14" s="138"/>
      <c r="AH14" s="1"/>
      <c r="AI14" s="1"/>
      <c r="AJ14"/>
      <c r="AK14"/>
    </row>
    <row r="15" spans="2:37">
      <c r="B15" s="139" t="str">
        <f>'COPA AMERICA'!Q5</f>
        <v>Pos</v>
      </c>
      <c r="C15" s="140" t="str">
        <f>'COPA AMERICA'!R5</f>
        <v>Selección</v>
      </c>
      <c r="D15" s="141" t="str">
        <f>'COPA AMERICA'!S5</f>
        <v>Pts</v>
      </c>
      <c r="E15" s="141" t="str">
        <f>'COPA AMERICA'!T5</f>
        <v>J</v>
      </c>
      <c r="F15" s="141" t="str">
        <f>'COPA AMERICA'!U5</f>
        <v>G</v>
      </c>
      <c r="G15" s="141" t="str">
        <f>'COPA AMERICA'!V5</f>
        <v>E</v>
      </c>
      <c r="H15" s="141" t="str">
        <f>'COPA AMERICA'!W5</f>
        <v>P</v>
      </c>
      <c r="I15" s="141" t="str">
        <f>'COPA AMERICA'!X5</f>
        <v>GF</v>
      </c>
      <c r="J15" s="141" t="str">
        <f>'COPA AMERICA'!Y5</f>
        <v>GC</v>
      </c>
      <c r="K15" s="142" t="str">
        <f>'COPA AMERICA'!Z5</f>
        <v>DG</v>
      </c>
      <c r="L15" s="24"/>
      <c r="M15" s="143" t="str">
        <f>'COPA AMERICA'!Q13</f>
        <v>Pos</v>
      </c>
      <c r="N15" s="144" t="str">
        <f>'COPA AMERICA'!R13</f>
        <v>Selección</v>
      </c>
      <c r="O15" s="145" t="str">
        <f>'COPA AMERICA'!S13</f>
        <v>Pts</v>
      </c>
      <c r="P15" s="145" t="str">
        <f>'COPA AMERICA'!T13</f>
        <v>J</v>
      </c>
      <c r="Q15" s="145" t="str">
        <f>'COPA AMERICA'!U13</f>
        <v>G</v>
      </c>
      <c r="R15" s="145" t="str">
        <f>'COPA AMERICA'!V13</f>
        <v>E</v>
      </c>
      <c r="S15" s="145" t="str">
        <f>'COPA AMERICA'!W13</f>
        <v>P</v>
      </c>
      <c r="T15" s="145" t="str">
        <f>'COPA AMERICA'!X13</f>
        <v>GF</v>
      </c>
      <c r="U15" s="145" t="str">
        <f>'COPA AMERICA'!Y13</f>
        <v>GC</v>
      </c>
      <c r="V15" s="146" t="str">
        <f>'COPA AMERICA'!Z13</f>
        <v>DG</v>
      </c>
      <c r="W15" s="24"/>
      <c r="X15" s="147" t="str">
        <f>'COPA AMERICA'!Q21</f>
        <v>Pos</v>
      </c>
      <c r="Y15" s="148" t="str">
        <f>'COPA AMERICA'!R21</f>
        <v>Selección</v>
      </c>
      <c r="Z15" s="149" t="str">
        <f>'COPA AMERICA'!S21</f>
        <v>Pts</v>
      </c>
      <c r="AA15" s="149" t="str">
        <f>'COPA AMERICA'!T21</f>
        <v>J</v>
      </c>
      <c r="AB15" s="149" t="str">
        <f>'COPA AMERICA'!U21</f>
        <v>G</v>
      </c>
      <c r="AC15" s="149" t="str">
        <f>'COPA AMERICA'!V21</f>
        <v>E</v>
      </c>
      <c r="AD15" s="149" t="str">
        <f>'COPA AMERICA'!W21</f>
        <v>P</v>
      </c>
      <c r="AE15" s="149" t="str">
        <f>'COPA AMERICA'!X21</f>
        <v>GF</v>
      </c>
      <c r="AF15" s="149" t="str">
        <f>'COPA AMERICA'!Y21</f>
        <v>GC</v>
      </c>
      <c r="AG15" s="150" t="str">
        <f>'COPA AMERICA'!Z21</f>
        <v>DG</v>
      </c>
      <c r="AH15" s="1"/>
      <c r="AI15" s="1"/>
      <c r="AJ15"/>
      <c r="AK15"/>
    </row>
    <row r="16" spans="2:37">
      <c r="B16" s="151">
        <f>'COPA AMERICA'!Q6</f>
        <v>1</v>
      </c>
      <c r="C16" s="152" t="str">
        <f ca="1">'COPA AMERICA'!R6</f>
        <v>Brasil</v>
      </c>
      <c r="D16" s="153">
        <f ca="1">'COPA AMERICA'!S6</f>
        <v>7</v>
      </c>
      <c r="E16" s="153">
        <f ca="1">'COPA AMERICA'!T6</f>
        <v>3</v>
      </c>
      <c r="F16" s="153">
        <f ca="1">'COPA AMERICA'!U6</f>
        <v>2</v>
      </c>
      <c r="G16" s="153">
        <f ca="1">'COPA AMERICA'!V6</f>
        <v>1</v>
      </c>
      <c r="H16" s="153">
        <f ca="1">'COPA AMERICA'!W6</f>
        <v>0</v>
      </c>
      <c r="I16" s="153">
        <f ca="1">'COPA AMERICA'!X6</f>
        <v>8</v>
      </c>
      <c r="J16" s="153">
        <f ca="1">'COPA AMERICA'!Y6</f>
        <v>0</v>
      </c>
      <c r="K16" s="154">
        <f ca="1">'COPA AMERICA'!Z6</f>
        <v>8</v>
      </c>
      <c r="L16" s="26"/>
      <c r="M16" s="151">
        <f>'COPA AMERICA'!Q14</f>
        <v>1</v>
      </c>
      <c r="N16" s="152" t="str">
        <f ca="1">'COPA AMERICA'!R14</f>
        <v>Colombia</v>
      </c>
      <c r="O16" s="153">
        <f ca="1">'COPA AMERICA'!S14</f>
        <v>9</v>
      </c>
      <c r="P16" s="153">
        <f ca="1">'COPA AMERICA'!T14</f>
        <v>3</v>
      </c>
      <c r="Q16" s="153">
        <f ca="1">'COPA AMERICA'!U14</f>
        <v>3</v>
      </c>
      <c r="R16" s="153">
        <f ca="1">'COPA AMERICA'!V14</f>
        <v>0</v>
      </c>
      <c r="S16" s="153">
        <f ca="1">'COPA AMERICA'!W14</f>
        <v>0</v>
      </c>
      <c r="T16" s="153">
        <f ca="1">'COPA AMERICA'!X14</f>
        <v>4</v>
      </c>
      <c r="U16" s="153">
        <f ca="1">'COPA AMERICA'!Y14</f>
        <v>0</v>
      </c>
      <c r="V16" s="154">
        <f ca="1">'COPA AMERICA'!Z14</f>
        <v>4</v>
      </c>
      <c r="W16" s="26"/>
      <c r="X16" s="151">
        <f>'COPA AMERICA'!Q22</f>
        <v>1</v>
      </c>
      <c r="Y16" s="152" t="str">
        <f ca="1">'COPA AMERICA'!R22</f>
        <v>Uruguay</v>
      </c>
      <c r="Z16" s="153">
        <f ca="1">'COPA AMERICA'!S22</f>
        <v>9</v>
      </c>
      <c r="AA16" s="153">
        <f ca="1">'COPA AMERICA'!T22</f>
        <v>3</v>
      </c>
      <c r="AB16" s="153">
        <f ca="1">'COPA AMERICA'!U22</f>
        <v>3</v>
      </c>
      <c r="AC16" s="153">
        <f ca="1">'COPA AMERICA'!V22</f>
        <v>0</v>
      </c>
      <c r="AD16" s="153">
        <f ca="1">'COPA AMERICA'!W22</f>
        <v>0</v>
      </c>
      <c r="AE16" s="153">
        <f ca="1">'COPA AMERICA'!X22</f>
        <v>7</v>
      </c>
      <c r="AF16" s="153">
        <f ca="1">'COPA AMERICA'!Y22</f>
        <v>0</v>
      </c>
      <c r="AG16" s="154">
        <f ca="1">'COPA AMERICA'!Z22</f>
        <v>7</v>
      </c>
      <c r="AH16" s="1"/>
      <c r="AI16" s="1"/>
      <c r="AJ16"/>
      <c r="AK16"/>
    </row>
    <row r="17" spans="1:37">
      <c r="B17" s="151">
        <f>'COPA AMERICA'!Q7</f>
        <v>2</v>
      </c>
      <c r="C17" s="152" t="str">
        <f ca="1">'COPA AMERICA'!R7</f>
        <v>Venezuela</v>
      </c>
      <c r="D17" s="153">
        <f ca="1">'COPA AMERICA'!S7</f>
        <v>5</v>
      </c>
      <c r="E17" s="153">
        <f ca="1">'COPA AMERICA'!T7</f>
        <v>3</v>
      </c>
      <c r="F17" s="153">
        <f ca="1">'COPA AMERICA'!U7</f>
        <v>1</v>
      </c>
      <c r="G17" s="153">
        <f ca="1">'COPA AMERICA'!V7</f>
        <v>2</v>
      </c>
      <c r="H17" s="153">
        <f ca="1">'COPA AMERICA'!W7</f>
        <v>0</v>
      </c>
      <c r="I17" s="153">
        <f ca="1">'COPA AMERICA'!X7</f>
        <v>3</v>
      </c>
      <c r="J17" s="153">
        <f ca="1">'COPA AMERICA'!Y7</f>
        <v>1</v>
      </c>
      <c r="K17" s="154">
        <f ca="1">'COPA AMERICA'!Z7</f>
        <v>2</v>
      </c>
      <c r="L17" s="26"/>
      <c r="M17" s="151">
        <f>'COPA AMERICA'!Q15</f>
        <v>2</v>
      </c>
      <c r="N17" s="152" t="str">
        <f ca="1">'COPA AMERICA'!R15</f>
        <v>Argentina</v>
      </c>
      <c r="O17" s="153">
        <f ca="1">'COPA AMERICA'!S15</f>
        <v>4</v>
      </c>
      <c r="P17" s="153">
        <f ca="1">'COPA AMERICA'!T15</f>
        <v>3</v>
      </c>
      <c r="Q17" s="153">
        <f ca="1">'COPA AMERICA'!U15</f>
        <v>1</v>
      </c>
      <c r="R17" s="153">
        <f ca="1">'COPA AMERICA'!V15</f>
        <v>1</v>
      </c>
      <c r="S17" s="153">
        <f ca="1">'COPA AMERICA'!W15</f>
        <v>1</v>
      </c>
      <c r="T17" s="153">
        <f ca="1">'COPA AMERICA'!X15</f>
        <v>3</v>
      </c>
      <c r="U17" s="153">
        <f ca="1">'COPA AMERICA'!Y15</f>
        <v>3</v>
      </c>
      <c r="V17" s="154">
        <f ca="1">'COPA AMERICA'!Z15</f>
        <v>0</v>
      </c>
      <c r="W17" s="26"/>
      <c r="X17" s="151">
        <f>'COPA AMERICA'!Q23</f>
        <v>2</v>
      </c>
      <c r="Y17" s="152" t="str">
        <f ca="1">'COPA AMERICA'!R23</f>
        <v>Chile</v>
      </c>
      <c r="Z17" s="153">
        <f ca="1">'COPA AMERICA'!S23</f>
        <v>6</v>
      </c>
      <c r="AA17" s="153">
        <f ca="1">'COPA AMERICA'!T23</f>
        <v>3</v>
      </c>
      <c r="AB17" s="153">
        <f ca="1">'COPA AMERICA'!U23</f>
        <v>2</v>
      </c>
      <c r="AC17" s="153">
        <f ca="1">'COPA AMERICA'!V23</f>
        <v>0</v>
      </c>
      <c r="AD17" s="153">
        <f ca="1">'COPA AMERICA'!W23</f>
        <v>1</v>
      </c>
      <c r="AE17" s="153">
        <f ca="1">'COPA AMERICA'!X23</f>
        <v>6</v>
      </c>
      <c r="AF17" s="153">
        <f ca="1">'COPA AMERICA'!Y23</f>
        <v>2</v>
      </c>
      <c r="AG17" s="154">
        <f ca="1">'COPA AMERICA'!Z23</f>
        <v>4</v>
      </c>
      <c r="AH17" s="1"/>
      <c r="AI17" s="1"/>
      <c r="AJ17"/>
      <c r="AK17"/>
    </row>
    <row r="18" spans="1:37">
      <c r="B18" s="151">
        <f>'COPA AMERICA'!Q8</f>
        <v>3</v>
      </c>
      <c r="C18" s="152" t="str">
        <f ca="1">'COPA AMERICA'!R8</f>
        <v>Perú</v>
      </c>
      <c r="D18" s="153">
        <f ca="1">'COPA AMERICA'!S8</f>
        <v>4</v>
      </c>
      <c r="E18" s="153">
        <f ca="1">'COPA AMERICA'!T8</f>
        <v>3</v>
      </c>
      <c r="F18" s="153">
        <f ca="1">'COPA AMERICA'!U8</f>
        <v>1</v>
      </c>
      <c r="G18" s="153">
        <f ca="1">'COPA AMERICA'!V8</f>
        <v>1</v>
      </c>
      <c r="H18" s="153">
        <f ca="1">'COPA AMERICA'!W8</f>
        <v>1</v>
      </c>
      <c r="I18" s="153">
        <f ca="1">'COPA AMERICA'!X8</f>
        <v>3</v>
      </c>
      <c r="J18" s="153">
        <f ca="1">'COPA AMERICA'!Y8</f>
        <v>6</v>
      </c>
      <c r="K18" s="154">
        <f ca="1">'COPA AMERICA'!Z8</f>
        <v>-3</v>
      </c>
      <c r="L18" s="26"/>
      <c r="M18" s="151">
        <f>'COPA AMERICA'!Q16</f>
        <v>3</v>
      </c>
      <c r="N18" s="152" t="str">
        <f ca="1">'COPA AMERICA'!R16</f>
        <v>Paraguay</v>
      </c>
      <c r="O18" s="153">
        <f ca="1">'COPA AMERICA'!S16</f>
        <v>2</v>
      </c>
      <c r="P18" s="153">
        <f ca="1">'COPA AMERICA'!T16</f>
        <v>3</v>
      </c>
      <c r="Q18" s="153">
        <f ca="1">'COPA AMERICA'!U16</f>
        <v>0</v>
      </c>
      <c r="R18" s="153">
        <f ca="1">'COPA AMERICA'!V16</f>
        <v>2</v>
      </c>
      <c r="S18" s="153">
        <f ca="1">'COPA AMERICA'!W16</f>
        <v>1</v>
      </c>
      <c r="T18" s="153">
        <f ca="1">'COPA AMERICA'!X16</f>
        <v>3</v>
      </c>
      <c r="U18" s="153">
        <f ca="1">'COPA AMERICA'!Y16</f>
        <v>4</v>
      </c>
      <c r="V18" s="154">
        <f ca="1">'COPA AMERICA'!Z16</f>
        <v>-1</v>
      </c>
      <c r="W18" s="26"/>
      <c r="X18" s="151">
        <f>'COPA AMERICA'!Q24</f>
        <v>3</v>
      </c>
      <c r="Y18" s="152" t="str">
        <f ca="1">'COPA AMERICA'!R24</f>
        <v>Ecuador</v>
      </c>
      <c r="Z18" s="153">
        <f ca="1">'COPA AMERICA'!S24</f>
        <v>1</v>
      </c>
      <c r="AA18" s="153">
        <f ca="1">'COPA AMERICA'!T24</f>
        <v>3</v>
      </c>
      <c r="AB18" s="153">
        <f ca="1">'COPA AMERICA'!U24</f>
        <v>0</v>
      </c>
      <c r="AC18" s="153">
        <f ca="1">'COPA AMERICA'!V24</f>
        <v>1</v>
      </c>
      <c r="AD18" s="153">
        <f ca="1">'COPA AMERICA'!W24</f>
        <v>2</v>
      </c>
      <c r="AE18" s="153">
        <f ca="1">'COPA AMERICA'!X24</f>
        <v>2</v>
      </c>
      <c r="AF18" s="153">
        <f ca="1">'COPA AMERICA'!Y24</f>
        <v>7</v>
      </c>
      <c r="AG18" s="154">
        <f ca="1">'COPA AMERICA'!Z24</f>
        <v>-5</v>
      </c>
      <c r="AH18" s="1"/>
      <c r="AI18" s="1"/>
      <c r="AJ18"/>
      <c r="AK18"/>
    </row>
    <row r="19" spans="1:37">
      <c r="B19" s="155">
        <f>'COPA AMERICA'!Q9</f>
        <v>4</v>
      </c>
      <c r="C19" s="156" t="str">
        <f ca="1">'COPA AMERICA'!R9</f>
        <v>Bolivia</v>
      </c>
      <c r="D19" s="157">
        <f ca="1">'COPA AMERICA'!S9</f>
        <v>0</v>
      </c>
      <c r="E19" s="157">
        <f ca="1">'COPA AMERICA'!T9</f>
        <v>3</v>
      </c>
      <c r="F19" s="157">
        <f ca="1">'COPA AMERICA'!U9</f>
        <v>0</v>
      </c>
      <c r="G19" s="157">
        <f ca="1">'COPA AMERICA'!V9</f>
        <v>0</v>
      </c>
      <c r="H19" s="157">
        <f ca="1">'COPA AMERICA'!W9</f>
        <v>3</v>
      </c>
      <c r="I19" s="157">
        <f ca="1">'COPA AMERICA'!X9</f>
        <v>2</v>
      </c>
      <c r="J19" s="157">
        <f ca="1">'COPA AMERICA'!Y9</f>
        <v>9</v>
      </c>
      <c r="K19" s="158">
        <f ca="1">'COPA AMERICA'!Z9</f>
        <v>-7</v>
      </c>
      <c r="L19" s="26"/>
      <c r="M19" s="155">
        <f>'COPA AMERICA'!Q17</f>
        <v>4</v>
      </c>
      <c r="N19" s="156" t="str">
        <f ca="1">'COPA AMERICA'!R17</f>
        <v>Catar</v>
      </c>
      <c r="O19" s="157">
        <f ca="1">'COPA AMERICA'!S17</f>
        <v>1</v>
      </c>
      <c r="P19" s="157">
        <f ca="1">'COPA AMERICA'!T17</f>
        <v>3</v>
      </c>
      <c r="Q19" s="157">
        <f ca="1">'COPA AMERICA'!U17</f>
        <v>0</v>
      </c>
      <c r="R19" s="157">
        <f ca="1">'COPA AMERICA'!V17</f>
        <v>1</v>
      </c>
      <c r="S19" s="157">
        <f ca="1">'COPA AMERICA'!W17</f>
        <v>2</v>
      </c>
      <c r="T19" s="157">
        <f ca="1">'COPA AMERICA'!X17</f>
        <v>2</v>
      </c>
      <c r="U19" s="157">
        <f ca="1">'COPA AMERICA'!Y17</f>
        <v>5</v>
      </c>
      <c r="V19" s="158">
        <f ca="1">'COPA AMERICA'!Z17</f>
        <v>-3</v>
      </c>
      <c r="W19" s="26"/>
      <c r="X19" s="155">
        <f>'COPA AMERICA'!Q25</f>
        <v>4</v>
      </c>
      <c r="Y19" s="156" t="str">
        <f ca="1">'COPA AMERICA'!R25</f>
        <v>Japón</v>
      </c>
      <c r="Z19" s="157">
        <f ca="1">'COPA AMERICA'!S25</f>
        <v>1</v>
      </c>
      <c r="AA19" s="157">
        <f ca="1">'COPA AMERICA'!T25</f>
        <v>3</v>
      </c>
      <c r="AB19" s="157">
        <f ca="1">'COPA AMERICA'!U25</f>
        <v>0</v>
      </c>
      <c r="AC19" s="157">
        <f ca="1">'COPA AMERICA'!V25</f>
        <v>1</v>
      </c>
      <c r="AD19" s="157">
        <f ca="1">'COPA AMERICA'!W25</f>
        <v>2</v>
      </c>
      <c r="AE19" s="157">
        <f ca="1">'COPA AMERICA'!X25</f>
        <v>1</v>
      </c>
      <c r="AF19" s="157">
        <f ca="1">'COPA AMERICA'!Y25</f>
        <v>7</v>
      </c>
      <c r="AG19" s="158">
        <f ca="1">'COPA AMERICA'!Z25</f>
        <v>-6</v>
      </c>
      <c r="AH19" s="1"/>
      <c r="AI19" s="1"/>
      <c r="AJ19"/>
      <c r="AK19"/>
    </row>
    <row r="20" spans="1:37" ht="5.25" customHeight="1"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/>
      <c r="AK20"/>
    </row>
    <row r="21" spans="1:37">
      <c r="M21" s="159"/>
      <c r="N21" s="160" t="s">
        <v>166</v>
      </c>
      <c r="O21" s="160"/>
      <c r="P21" s="160"/>
      <c r="Q21" s="160"/>
      <c r="R21" s="160"/>
      <c r="S21" s="160"/>
      <c r="T21" s="160"/>
      <c r="U21" s="160"/>
      <c r="V21" s="16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/>
      <c r="AK21"/>
    </row>
    <row r="22" spans="1:37">
      <c r="M22" s="162" t="str">
        <f>'COPA AMERICA'!E32</f>
        <v>Pos</v>
      </c>
      <c r="N22" s="163" t="str">
        <f>'COPA AMERICA'!F32</f>
        <v>Selección</v>
      </c>
      <c r="O22" s="164" t="str">
        <f>'COPA AMERICA'!G32</f>
        <v>Pts</v>
      </c>
      <c r="P22" s="164" t="str">
        <f>'COPA AMERICA'!H32</f>
        <v>J</v>
      </c>
      <c r="Q22" s="164" t="str">
        <f>'COPA AMERICA'!I32</f>
        <v>G</v>
      </c>
      <c r="R22" s="164" t="str">
        <f>'COPA AMERICA'!J32</f>
        <v>E</v>
      </c>
      <c r="S22" s="164" t="str">
        <f>'COPA AMERICA'!K32</f>
        <v>P</v>
      </c>
      <c r="T22" s="164" t="str">
        <f>'COPA AMERICA'!L32</f>
        <v>GF</v>
      </c>
      <c r="U22" s="164" t="str">
        <f>'COPA AMERICA'!M32</f>
        <v>GC</v>
      </c>
      <c r="V22" s="165" t="str">
        <f>'COPA AMERICA'!N32</f>
        <v>DG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43"/>
      <c r="AI22" s="1"/>
      <c r="AJ22"/>
      <c r="AK22"/>
    </row>
    <row r="23" spans="1:37">
      <c r="M23" s="151">
        <f>'COPA AMERICA'!E33</f>
        <v>1</v>
      </c>
      <c r="N23" s="152" t="str">
        <f ca="1">'COPA AMERICA'!F33</f>
        <v>Perú</v>
      </c>
      <c r="O23" s="153">
        <f ca="1">'COPA AMERICA'!G33</f>
        <v>4</v>
      </c>
      <c r="P23" s="153">
        <f ca="1">'COPA AMERICA'!H33</f>
        <v>3</v>
      </c>
      <c r="Q23" s="153">
        <f ca="1">'COPA AMERICA'!I33</f>
        <v>1</v>
      </c>
      <c r="R23" s="153">
        <f ca="1">'COPA AMERICA'!J33</f>
        <v>1</v>
      </c>
      <c r="S23" s="153">
        <f ca="1">'COPA AMERICA'!K33</f>
        <v>1</v>
      </c>
      <c r="T23" s="153">
        <f ca="1">'COPA AMERICA'!L33</f>
        <v>3</v>
      </c>
      <c r="U23" s="153">
        <f ca="1">'COPA AMERICA'!M33</f>
        <v>6</v>
      </c>
      <c r="V23" s="154">
        <f ca="1">'COPA AMERICA'!N33</f>
        <v>-3</v>
      </c>
      <c r="W23" s="1"/>
      <c r="X23" s="1"/>
      <c r="Y23" s="43"/>
      <c r="Z23" s="43"/>
      <c r="AA23" s="43"/>
      <c r="AB23" s="1"/>
      <c r="AC23" s="1"/>
      <c r="AD23" s="1"/>
      <c r="AE23" s="1"/>
      <c r="AF23" s="1"/>
      <c r="AG23" s="1"/>
      <c r="AH23" s="43"/>
      <c r="AI23" s="1"/>
      <c r="AJ23"/>
      <c r="AK23"/>
    </row>
    <row r="24" spans="1:37">
      <c r="M24" s="151">
        <f>'COPA AMERICA'!E34</f>
        <v>2</v>
      </c>
      <c r="N24" s="152" t="str">
        <f ca="1">'COPA AMERICA'!F34</f>
        <v>Paraguay</v>
      </c>
      <c r="O24" s="153">
        <f ca="1">'COPA AMERICA'!G34</f>
        <v>2</v>
      </c>
      <c r="P24" s="153">
        <f ca="1">'COPA AMERICA'!H34</f>
        <v>3</v>
      </c>
      <c r="Q24" s="153">
        <f ca="1">'COPA AMERICA'!I34</f>
        <v>0</v>
      </c>
      <c r="R24" s="153">
        <f ca="1">'COPA AMERICA'!J34</f>
        <v>2</v>
      </c>
      <c r="S24" s="153">
        <f ca="1">'COPA AMERICA'!K34</f>
        <v>1</v>
      </c>
      <c r="T24" s="153">
        <f ca="1">'COPA AMERICA'!L34</f>
        <v>3</v>
      </c>
      <c r="U24" s="153">
        <f ca="1">'COPA AMERICA'!M34</f>
        <v>4</v>
      </c>
      <c r="V24" s="154">
        <f ca="1">'COPA AMERICA'!N34</f>
        <v>-1</v>
      </c>
      <c r="W24" s="1"/>
      <c r="X24" s="1"/>
      <c r="Y24" s="43"/>
      <c r="Z24" s="43"/>
      <c r="AA24" s="43"/>
      <c r="AB24" s="1"/>
      <c r="AC24" s="1"/>
      <c r="AD24" s="1"/>
      <c r="AE24" s="1"/>
      <c r="AF24" s="1"/>
      <c r="AG24" s="1"/>
      <c r="AH24" s="43"/>
      <c r="AI24" s="1"/>
      <c r="AJ24"/>
      <c r="AK24"/>
    </row>
    <row r="25" spans="1:37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155">
        <f>'COPA AMERICA'!E35</f>
        <v>3</v>
      </c>
      <c r="N25" s="156" t="str">
        <f ca="1">'COPA AMERICA'!F35</f>
        <v>Ecuador</v>
      </c>
      <c r="O25" s="157">
        <f ca="1">'COPA AMERICA'!G35</f>
        <v>1</v>
      </c>
      <c r="P25" s="157">
        <f ca="1">'COPA AMERICA'!H35</f>
        <v>3</v>
      </c>
      <c r="Q25" s="157">
        <f ca="1">'COPA AMERICA'!I35</f>
        <v>0</v>
      </c>
      <c r="R25" s="157">
        <f ca="1">'COPA AMERICA'!J35</f>
        <v>1</v>
      </c>
      <c r="S25" s="157">
        <f ca="1">'COPA AMERICA'!K35</f>
        <v>2</v>
      </c>
      <c r="T25" s="157">
        <f ca="1">'COPA AMERICA'!L35</f>
        <v>2</v>
      </c>
      <c r="U25" s="157">
        <f ca="1">'COPA AMERICA'!M35</f>
        <v>7</v>
      </c>
      <c r="V25" s="158">
        <f ca="1">'COPA AMERICA'!N35</f>
        <v>-5</v>
      </c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1"/>
      <c r="AJ25"/>
      <c r="AK25"/>
    </row>
    <row r="26" spans="1:37" ht="23" customHeight="1">
      <c r="A26" s="43"/>
      <c r="B26" s="43"/>
      <c r="C26" s="43" t="s">
        <v>162</v>
      </c>
      <c r="D26" s="43"/>
      <c r="E26" s="43"/>
      <c r="F26" s="43"/>
      <c r="G26" s="43" t="s">
        <v>163</v>
      </c>
      <c r="H26" s="43"/>
      <c r="I26" s="43"/>
      <c r="J26" s="43"/>
      <c r="K26" s="43"/>
      <c r="L26" s="43"/>
      <c r="M26" s="43"/>
      <c r="N26" s="43"/>
      <c r="O26" s="43"/>
      <c r="P26" s="43"/>
      <c r="Q26" s="43" t="s">
        <v>11</v>
      </c>
      <c r="R26" s="43"/>
      <c r="S26" s="43"/>
      <c r="T26" s="43"/>
      <c r="U26" s="43"/>
      <c r="V26" s="43"/>
      <c r="W26" s="43"/>
      <c r="X26" s="43"/>
      <c r="Y26" s="43"/>
      <c r="Z26" s="56"/>
      <c r="AA26"/>
      <c r="AB26" s="48" t="s">
        <v>165</v>
      </c>
      <c r="AC26" s="43"/>
      <c r="AD26" s="43"/>
      <c r="AE26" s="43"/>
      <c r="AF26" s="56"/>
      <c r="AG26"/>
      <c r="AH26" s="48" t="s">
        <v>164</v>
      </c>
      <c r="AI26" s="1"/>
      <c r="AJ26"/>
      <c r="AK26"/>
    </row>
    <row r="27" spans="1:37" ht="15.75" customHeight="1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62"/>
      <c r="AI27" s="122"/>
      <c r="AJ27"/>
      <c r="AK27"/>
    </row>
    <row r="28" spans="1:37" ht="23" customHeight="1">
      <c r="A28" s="55"/>
      <c r="B28" s="99"/>
      <c r="C28" s="166" t="str">
        <f ca="1">'COPA AMERICA'!I39</f>
        <v>Brasil</v>
      </c>
      <c r="D28" s="100">
        <f>IF(ISBLANK('COPA AMERICA'!K39),"",'COPA AMERICA'!K39)</f>
        <v>0</v>
      </c>
      <c r="E28" s="124" t="str">
        <f>IF(ISBLANK('COPA AMERICA'!J39),"","("&amp;'COPA AMERICA'!J39&amp;")")</f>
        <v/>
      </c>
      <c r="F28" s="68"/>
      <c r="G28" s="68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55"/>
      <c r="AD28" s="128" t="str">
        <f>IF(ISBLANK('COPA AMERICA'!J41),"","("&amp;'COPA AMERICA'!J41&amp;")")</f>
        <v/>
      </c>
      <c r="AE28" s="100">
        <f>IF(ISBLANK('COPA AMERICA'!K41),"",'COPA AMERICA'!K41)</f>
        <v>0</v>
      </c>
      <c r="AF28" s="167" t="str">
        <f ca="1">'COPA AMERICA'!I41</f>
        <v>Colombia</v>
      </c>
      <c r="AG28" s="106"/>
      <c r="AH28" s="108"/>
      <c r="AI28" s="122"/>
      <c r="AJ28"/>
      <c r="AK28"/>
    </row>
    <row r="29" spans="1:37" ht="23" customHeight="1">
      <c r="A29" s="55"/>
      <c r="B29" s="99"/>
      <c r="C29" s="166" t="str">
        <f ca="1">'COPA AMERICA'!N39</f>
        <v>Paraguay</v>
      </c>
      <c r="D29" s="100">
        <f>IF(ISBLANK('COPA AMERICA'!L39),"",'COPA AMERICA'!L39)</f>
        <v>0</v>
      </c>
      <c r="E29" s="125" t="str">
        <f>IF(ISBLANK('COPA AMERICA'!M39),"","("&amp;'COPA AMERICA'!M39&amp;")")</f>
        <v/>
      </c>
      <c r="F29" s="62"/>
      <c r="G29" s="69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76"/>
      <c r="AC29" s="79"/>
      <c r="AD29" s="127" t="str">
        <f>IF(ISBLANK('COPA AMERICA'!M41),"","("&amp;'COPA AMERICA'!M41&amp;")")</f>
        <v/>
      </c>
      <c r="AE29" s="100">
        <f>IF(ISBLANK('COPA AMERICA'!L41),"",'COPA AMERICA'!L41)</f>
        <v>0</v>
      </c>
      <c r="AF29" s="168" t="str">
        <f ca="1">'COPA AMERICA'!N41</f>
        <v>Chile</v>
      </c>
      <c r="AG29" s="106"/>
      <c r="AH29" s="108"/>
      <c r="AI29" s="122"/>
      <c r="AJ29"/>
      <c r="AK29"/>
    </row>
    <row r="30" spans="1:37" ht="23" customHeight="1">
      <c r="A30" s="55"/>
      <c r="B30" s="57"/>
      <c r="C30" s="58"/>
      <c r="D30" s="58"/>
      <c r="E30" s="58"/>
      <c r="F30" s="55"/>
      <c r="G30" s="70"/>
      <c r="H30" s="58"/>
      <c r="I30" s="58"/>
      <c r="J30" s="80"/>
      <c r="K30" s="80"/>
      <c r="L30" s="80"/>
      <c r="M30" s="80"/>
      <c r="N30" s="58"/>
      <c r="O30" s="61"/>
      <c r="P30" s="81"/>
      <c r="Q30" s="91" t="s">
        <v>157</v>
      </c>
      <c r="R30" s="82"/>
      <c r="S30" s="83"/>
      <c r="T30" s="65"/>
      <c r="U30" s="80"/>
      <c r="V30" s="80"/>
      <c r="W30" s="80"/>
      <c r="X30" s="80"/>
      <c r="Y30" s="58"/>
      <c r="Z30" s="58"/>
      <c r="AA30" s="58"/>
      <c r="AB30" s="70"/>
      <c r="AC30" s="58"/>
      <c r="AD30" s="58"/>
      <c r="AE30" s="58"/>
      <c r="AF30" s="64"/>
      <c r="AG30" s="57"/>
      <c r="AH30" s="62"/>
      <c r="AI30" s="122"/>
      <c r="AJ30"/>
      <c r="AK30"/>
    </row>
    <row r="31" spans="1:37" ht="23" customHeight="1">
      <c r="A31" s="55"/>
      <c r="B31" s="59"/>
      <c r="C31" s="60"/>
      <c r="D31" s="61"/>
      <c r="E31" s="61"/>
      <c r="F31" s="55"/>
      <c r="G31" s="71"/>
      <c r="H31" s="65"/>
      <c r="I31" s="65"/>
      <c r="J31" s="57"/>
      <c r="K31" s="57"/>
      <c r="L31" s="57"/>
      <c r="M31" s="59"/>
      <c r="N31" s="114"/>
      <c r="O31" s="115" t="str">
        <f>'COPA AMERICA'!I49</f>
        <v>LS1</v>
      </c>
      <c r="P31" s="116" t="str">
        <f>IF(ISBLANK('COPA AMERICA'!J49),"","("&amp;'COPA AMERICA'!J49&amp;")")</f>
        <v/>
      </c>
      <c r="Q31" s="117" t="str">
        <f>IF(ISBLANK('COPA AMERICA'!K49),"",'COPA AMERICA'!K49)</f>
        <v/>
      </c>
      <c r="R31" s="117" t="str">
        <f>IF(ISBLANK('COPA AMERICA'!L49),"",'COPA AMERICA'!L49)</f>
        <v/>
      </c>
      <c r="S31" s="118" t="str">
        <f>IF(ISBLANK('COPA AMERICA'!M49),"","("&amp;'COPA AMERICA'!M49&amp;")")</f>
        <v/>
      </c>
      <c r="T31" s="119" t="str">
        <f>'COPA AMERICA'!N49</f>
        <v>LS2</v>
      </c>
      <c r="U31" s="120"/>
      <c r="V31" s="120"/>
      <c r="W31" s="120"/>
      <c r="X31" s="121"/>
      <c r="Y31" s="60"/>
      <c r="Z31" s="61"/>
      <c r="AA31" s="61"/>
      <c r="AB31" s="71"/>
      <c r="AC31" s="65"/>
      <c r="AD31" s="85"/>
      <c r="AE31" s="85"/>
      <c r="AF31" s="57"/>
      <c r="AG31" s="57"/>
      <c r="AH31" s="62"/>
      <c r="AI31" s="122"/>
      <c r="AJ31"/>
      <c r="AK31"/>
    </row>
    <row r="32" spans="1:37" ht="23" customHeight="1">
      <c r="A32" s="55"/>
      <c r="B32" s="57"/>
      <c r="C32" s="60"/>
      <c r="D32" s="61"/>
      <c r="E32" s="61"/>
      <c r="F32" s="55"/>
      <c r="G32" s="72"/>
      <c r="H32" s="55"/>
      <c r="I32" s="55"/>
      <c r="J32" s="57"/>
      <c r="K32" s="57"/>
      <c r="L32" s="57"/>
      <c r="M32" s="57"/>
      <c r="N32" s="60"/>
      <c r="O32" s="55"/>
      <c r="P32" s="55"/>
      <c r="Q32" s="62"/>
      <c r="R32" s="89"/>
      <c r="S32" s="55"/>
      <c r="T32" s="55"/>
      <c r="U32" s="57"/>
      <c r="V32" s="57"/>
      <c r="W32" s="57"/>
      <c r="X32" s="57"/>
      <c r="Y32" s="60"/>
      <c r="Z32" s="61"/>
      <c r="AA32" s="61"/>
      <c r="AB32" s="72"/>
      <c r="AC32" s="65"/>
      <c r="AD32" s="85"/>
      <c r="AE32" s="85"/>
      <c r="AF32" s="57"/>
      <c r="AG32" s="57"/>
      <c r="AH32" s="62"/>
      <c r="AI32" s="122"/>
      <c r="AJ32"/>
      <c r="AK32"/>
    </row>
    <row r="33" spans="1:37" ht="23" customHeight="1">
      <c r="A33" s="55"/>
      <c r="B33" s="57"/>
      <c r="C33" s="60"/>
      <c r="D33" s="61"/>
      <c r="E33" s="101"/>
      <c r="F33" s="102"/>
      <c r="G33" s="103"/>
      <c r="H33" s="104" t="str">
        <f>'COPA AMERICA'!I45</f>
        <v>WC1</v>
      </c>
      <c r="I33" s="100">
        <f>IF(ISBLANK('COPA AMERICA'!K45),"",'COPA AMERICA'!K45)</f>
        <v>0</v>
      </c>
      <c r="J33" s="124" t="str">
        <f>IF(ISBLANK('COPA AMERICA'!J45),"","("&amp;'COPA AMERICA'!J45&amp;")")</f>
        <v/>
      </c>
      <c r="K33" s="84"/>
      <c r="L33" s="84"/>
      <c r="M33" s="84"/>
      <c r="N33" s="62"/>
      <c r="O33" s="61"/>
      <c r="P33" s="87"/>
      <c r="Q33" s="91" t="s">
        <v>110</v>
      </c>
      <c r="R33" s="82"/>
      <c r="S33" s="88"/>
      <c r="T33" s="63"/>
      <c r="U33" s="57"/>
      <c r="V33" s="57"/>
      <c r="W33" s="57"/>
      <c r="X33" s="57"/>
      <c r="Y33" s="68"/>
      <c r="Z33" s="128" t="str">
        <f>IF(ISBLANK('COPA AMERICA'!J46),"","("&amp;'COPA AMERICA'!J46&amp;")")</f>
        <v/>
      </c>
      <c r="AA33" s="100">
        <f>IF(ISBLANK('COPA AMERICA'!K46),"",'COPA AMERICA'!K46)</f>
        <v>0</v>
      </c>
      <c r="AB33" s="109" t="str">
        <f>'COPA AMERICA'!I46</f>
        <v>WC3</v>
      </c>
      <c r="AC33" s="110"/>
      <c r="AD33" s="102"/>
      <c r="AE33" s="111"/>
      <c r="AF33" s="57"/>
      <c r="AG33" s="57"/>
      <c r="AH33" s="62"/>
      <c r="AI33" s="122"/>
      <c r="AJ33"/>
      <c r="AK33"/>
    </row>
    <row r="34" spans="1:37" ht="23" customHeight="1">
      <c r="A34" s="55"/>
      <c r="B34" s="57"/>
      <c r="C34" s="60"/>
      <c r="D34" s="61"/>
      <c r="E34" s="101"/>
      <c r="F34" s="105"/>
      <c r="G34" s="106"/>
      <c r="H34" s="104" t="str">
        <f>'COPA AMERICA'!N45</f>
        <v>WC2</v>
      </c>
      <c r="I34" s="100">
        <f>IF(ISBLANK('COPA AMERICA'!L45),"",'COPA AMERICA'!L45)</f>
        <v>0</v>
      </c>
      <c r="J34" s="125" t="str">
        <f>IF(ISBLANK('COPA AMERICA'!M45),"","("&amp;'COPA AMERICA'!M45&amp;")")</f>
        <v/>
      </c>
      <c r="K34" s="57"/>
      <c r="L34" s="57"/>
      <c r="M34" s="57"/>
      <c r="N34" s="96"/>
      <c r="O34" s="97" t="str">
        <f>'COPA AMERICA'!I52</f>
        <v>WS1</v>
      </c>
      <c r="P34" s="92" t="str">
        <f>IF(ISBLANK('COPA AMERICA'!J52),"","("&amp;'COPA AMERICA'!J52&amp;")")</f>
        <v/>
      </c>
      <c r="Q34" s="98" t="str">
        <f>IF(ISBLANK('COPA AMERICA'!K52),"",'COPA AMERICA'!K52)</f>
        <v/>
      </c>
      <c r="R34" s="98" t="str">
        <f>IF(ISBLANK('COPA AMERICA'!L52),"",'COPA AMERICA'!L52)</f>
        <v/>
      </c>
      <c r="S34" s="92" t="str">
        <f>IF(ISBLANK('COPA AMERICA'!M52),"","("&amp;'COPA AMERICA'!M52&amp;")")</f>
        <v/>
      </c>
      <c r="T34" s="93" t="str">
        <f>'COPA AMERICA'!N52</f>
        <v>WS2</v>
      </c>
      <c r="U34" s="94"/>
      <c r="V34" s="94"/>
      <c r="W34" s="94"/>
      <c r="X34" s="95"/>
      <c r="Y34" s="55"/>
      <c r="Z34" s="123" t="str">
        <f>IF(ISBLANK('COPA AMERICA'!M46),"","("&amp;'COPA AMERICA'!M46&amp;")")</f>
        <v/>
      </c>
      <c r="AA34" s="100">
        <f>IF(ISBLANK('COPA AMERICA'!L46),"",'COPA AMERICA'!L46)</f>
        <v>0</v>
      </c>
      <c r="AB34" s="103" t="str">
        <f>'COPA AMERICA'!N46</f>
        <v>WC4</v>
      </c>
      <c r="AC34" s="112"/>
      <c r="AD34" s="105"/>
      <c r="AE34" s="113"/>
      <c r="AF34" s="57"/>
      <c r="AG34" s="57"/>
      <c r="AH34" s="62"/>
      <c r="AI34" s="122"/>
      <c r="AJ34"/>
      <c r="AK34"/>
    </row>
    <row r="35" spans="1:37" ht="23" customHeight="1">
      <c r="A35" s="55"/>
      <c r="B35" s="57"/>
      <c r="C35" s="60"/>
      <c r="D35" s="61"/>
      <c r="E35" s="61"/>
      <c r="F35" s="63"/>
      <c r="G35" s="74"/>
      <c r="H35" s="63"/>
      <c r="I35" s="63"/>
      <c r="J35" s="57"/>
      <c r="K35" s="57"/>
      <c r="L35" s="57"/>
      <c r="M35" s="57"/>
      <c r="N35" s="60"/>
      <c r="O35" s="55"/>
      <c r="P35" s="55"/>
      <c r="Q35" s="76"/>
      <c r="R35" s="62"/>
      <c r="S35" s="55"/>
      <c r="T35" s="55"/>
      <c r="U35" s="57"/>
      <c r="V35" s="57"/>
      <c r="W35" s="57"/>
      <c r="X35" s="57"/>
      <c r="Y35" s="60"/>
      <c r="Z35" s="61"/>
      <c r="AA35" s="61"/>
      <c r="AB35" s="74"/>
      <c r="AC35" s="63"/>
      <c r="AD35" s="86"/>
      <c r="AE35" s="86"/>
      <c r="AF35" s="57"/>
      <c r="AG35" s="57"/>
      <c r="AH35" s="62"/>
      <c r="AI35" s="122"/>
      <c r="AJ35"/>
      <c r="AK35"/>
    </row>
    <row r="36" spans="1:37" ht="23" customHeight="1">
      <c r="A36" s="55"/>
      <c r="B36" s="57"/>
      <c r="C36" s="55"/>
      <c r="D36" s="55"/>
      <c r="E36" s="55"/>
      <c r="F36" s="63"/>
      <c r="G36" s="75"/>
      <c r="H36" s="63"/>
      <c r="I36" s="63"/>
      <c r="J36" s="57"/>
      <c r="K36" s="57"/>
      <c r="L36" s="57"/>
      <c r="M36" s="57"/>
      <c r="N36" s="60"/>
      <c r="O36" s="55"/>
      <c r="P36" s="55"/>
      <c r="Q36" s="76"/>
      <c r="R36" s="62"/>
      <c r="S36" s="55"/>
      <c r="T36" s="55"/>
      <c r="U36" s="57"/>
      <c r="V36" s="57"/>
      <c r="W36" s="57"/>
      <c r="X36" s="57"/>
      <c r="Y36" s="60"/>
      <c r="Z36" s="61"/>
      <c r="AA36" s="61"/>
      <c r="AB36" s="75"/>
      <c r="AC36" s="63"/>
      <c r="AD36" s="86"/>
      <c r="AE36" s="86"/>
      <c r="AF36" s="57"/>
      <c r="AG36" s="57"/>
      <c r="AH36" s="62"/>
      <c r="AI36" s="122"/>
      <c r="AJ36"/>
      <c r="AK36"/>
    </row>
    <row r="37" spans="1:37" ht="23" customHeight="1">
      <c r="A37" s="55"/>
      <c r="B37" s="59"/>
      <c r="C37" s="55"/>
      <c r="D37" s="55"/>
      <c r="E37" s="55"/>
      <c r="F37" s="63"/>
      <c r="G37" s="75"/>
      <c r="H37" s="63"/>
      <c r="I37" s="63"/>
      <c r="J37" s="57"/>
      <c r="K37" s="57"/>
      <c r="L37" s="57"/>
      <c r="M37" s="59"/>
      <c r="N37" s="60"/>
      <c r="O37" s="61"/>
      <c r="P37" s="61"/>
      <c r="Q37" s="75"/>
      <c r="R37" s="63"/>
      <c r="S37" s="63"/>
      <c r="T37" s="63"/>
      <c r="U37" s="57"/>
      <c r="V37" s="57"/>
      <c r="W37" s="57"/>
      <c r="X37" s="59"/>
      <c r="Y37" s="60"/>
      <c r="Z37" s="61"/>
      <c r="AA37" s="61"/>
      <c r="AB37" s="75"/>
      <c r="AC37" s="63"/>
      <c r="AD37" s="86"/>
      <c r="AE37" s="86"/>
      <c r="AF37" s="57"/>
      <c r="AG37" s="57"/>
      <c r="AH37" s="62"/>
      <c r="AI37" s="122"/>
      <c r="AJ37"/>
      <c r="AK37"/>
    </row>
    <row r="38" spans="1:37" ht="23" customHeight="1">
      <c r="A38" s="55"/>
      <c r="B38" s="107"/>
      <c r="C38" s="169" t="str">
        <f ca="1">'COPA AMERICA'!I40</f>
        <v>Venezuela</v>
      </c>
      <c r="D38" s="100">
        <f>IF(ISBLANK('COPA AMERICA'!K40),"",'COPA AMERICA'!K40)</f>
        <v>0</v>
      </c>
      <c r="E38" s="126" t="str">
        <f>IF(ISBLANK('COPA AMERICA'!J40),"","("&amp;'COPA AMERICA'!J40&amp;")")</f>
        <v/>
      </c>
      <c r="F38" s="77"/>
      <c r="G38" s="78"/>
      <c r="H38" s="63"/>
      <c r="I38" s="63"/>
      <c r="J38" s="57"/>
      <c r="K38" s="57"/>
      <c r="L38" s="57"/>
      <c r="M38" s="57"/>
      <c r="N38" s="60"/>
      <c r="O38" s="61"/>
      <c r="P38" s="61"/>
      <c r="Q38" s="75"/>
      <c r="R38" s="63"/>
      <c r="S38" s="63"/>
      <c r="T38" s="63"/>
      <c r="U38" s="57"/>
      <c r="V38" s="57"/>
      <c r="W38" s="57"/>
      <c r="X38" s="57"/>
      <c r="Y38" s="60"/>
      <c r="Z38" s="61"/>
      <c r="AA38" s="61"/>
      <c r="AB38" s="75"/>
      <c r="AC38" s="62"/>
      <c r="AD38" s="128" t="str">
        <f>IF(ISBLANK('COPA AMERICA'!J42),"","("&amp;'COPA AMERICA'!J42&amp;")")</f>
        <v/>
      </c>
      <c r="AE38" s="100">
        <f>IF(ISBLANK('COPA AMERICA'!K42),"",'COPA AMERICA'!K42)</f>
        <v>0</v>
      </c>
      <c r="AF38" s="167" t="str">
        <f ca="1">'COPA AMERICA'!I42</f>
        <v>Uruguay</v>
      </c>
      <c r="AG38" s="110"/>
      <c r="AH38" s="108"/>
      <c r="AI38" s="122"/>
      <c r="AJ38"/>
      <c r="AK38"/>
    </row>
    <row r="39" spans="1:37" ht="23" customHeight="1">
      <c r="A39" s="55"/>
      <c r="B39" s="107"/>
      <c r="C39" s="166" t="str">
        <f ca="1">'COPA AMERICA'!N40</f>
        <v>Argentina</v>
      </c>
      <c r="D39" s="100">
        <f>IF(ISBLANK('COPA AMERICA'!L40),"",'COPA AMERICA'!L40)</f>
        <v>0</v>
      </c>
      <c r="E39" s="123" t="str">
        <f>IF(ISBLANK('COPA AMERICA'!M40),"","("&amp;'COPA AMERICA'!M40&amp;")")</f>
        <v/>
      </c>
      <c r="F39" s="63"/>
      <c r="G39" s="63"/>
      <c r="H39" s="63"/>
      <c r="I39" s="63"/>
      <c r="J39" s="57"/>
      <c r="K39" s="57"/>
      <c r="L39" s="57"/>
      <c r="M39" s="57"/>
      <c r="N39" s="60"/>
      <c r="O39" s="61"/>
      <c r="P39" s="61"/>
      <c r="Q39" s="75"/>
      <c r="R39" s="63"/>
      <c r="S39" s="63"/>
      <c r="T39" s="63"/>
      <c r="U39" s="57"/>
      <c r="V39" s="57"/>
      <c r="W39" s="57"/>
      <c r="X39" s="57"/>
      <c r="Y39" s="60"/>
      <c r="Z39" s="61"/>
      <c r="AA39" s="61"/>
      <c r="AB39" s="63"/>
      <c r="AC39" s="79"/>
      <c r="AD39" s="123" t="str">
        <f>IF(ISBLANK('COPA AMERICA'!M42),"","("&amp;'COPA AMERICA'!M42&amp;")")</f>
        <v/>
      </c>
      <c r="AE39" s="100">
        <f>IF(ISBLANK('COPA AMERICA'!L42),"",'COPA AMERICA'!L42)</f>
        <v>0</v>
      </c>
      <c r="AF39" s="168" t="str">
        <f ca="1">'COPA AMERICA'!N42</f>
        <v>Perú</v>
      </c>
      <c r="AG39" s="110"/>
      <c r="AH39" s="108"/>
      <c r="AI39" s="122"/>
      <c r="AJ39"/>
      <c r="AK39"/>
    </row>
    <row r="40" spans="1:37" ht="23" customHeight="1">
      <c r="A40" s="55"/>
      <c r="B40" s="57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73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57"/>
      <c r="AH40" s="62"/>
      <c r="AI40" s="122"/>
      <c r="AJ40"/>
      <c r="AK40"/>
    </row>
    <row r="41" spans="1:37" ht="10.5" customHeight="1">
      <c r="B41" s="44"/>
      <c r="C41" s="45"/>
      <c r="D41" s="45"/>
      <c r="E41" s="45"/>
      <c r="F41" s="45"/>
      <c r="G41" s="45"/>
      <c r="H41" s="45"/>
      <c r="I41" s="45"/>
      <c r="J41" s="45"/>
      <c r="K41" s="45"/>
      <c r="L41" s="24"/>
      <c r="M41" s="44"/>
      <c r="N41" s="45"/>
      <c r="O41" s="45"/>
      <c r="P41" s="45"/>
      <c r="Q41" s="45"/>
      <c r="R41" s="90"/>
      <c r="S41" s="45"/>
      <c r="T41" s="45"/>
      <c r="U41" s="45"/>
      <c r="V41" s="45"/>
      <c r="W41" s="24"/>
      <c r="X41" s="44"/>
      <c r="Y41" s="45"/>
      <c r="Z41" s="45"/>
      <c r="AA41" s="45"/>
      <c r="AB41" s="45"/>
      <c r="AC41" s="45"/>
      <c r="AD41" s="45"/>
      <c r="AE41" s="45"/>
      <c r="AF41" s="45"/>
      <c r="AG41" s="45"/>
      <c r="AH41" s="43"/>
      <c r="AI41" s="1"/>
      <c r="AJ41"/>
      <c r="AK41"/>
    </row>
    <row r="42" spans="1:37" ht="9" customHeight="1">
      <c r="B42" s="26"/>
      <c r="C42" s="47"/>
      <c r="D42" s="26"/>
      <c r="E42" s="26"/>
      <c r="F42" s="26"/>
      <c r="G42" s="26"/>
      <c r="H42" s="26"/>
      <c r="I42" s="26"/>
      <c r="J42" s="26"/>
      <c r="K42" s="26"/>
      <c r="L42" s="25"/>
      <c r="M42" s="26"/>
      <c r="N42" s="47"/>
      <c r="O42" s="26"/>
      <c r="P42" s="26"/>
      <c r="Q42" s="66"/>
      <c r="R42" s="90"/>
      <c r="S42" s="26"/>
      <c r="T42" s="26"/>
      <c r="U42" s="26"/>
      <c r="V42" s="26"/>
      <c r="W42" s="25"/>
      <c r="X42" s="26"/>
      <c r="Y42" s="47"/>
      <c r="Z42" s="26"/>
      <c r="AA42" s="26"/>
      <c r="AB42" s="26"/>
      <c r="AC42" s="26"/>
      <c r="AD42" s="26"/>
      <c r="AE42" s="26"/>
      <c r="AF42" s="26"/>
      <c r="AG42" s="26"/>
      <c r="AH42" s="43"/>
      <c r="AI42" s="1"/>
      <c r="AJ42"/>
      <c r="AK42"/>
    </row>
    <row r="43" spans="1:37" ht="11.25" customHeight="1">
      <c r="B43" s="26"/>
      <c r="C43" s="47"/>
      <c r="D43" s="26"/>
      <c r="E43" s="26"/>
      <c r="F43" s="26"/>
      <c r="G43" s="26"/>
      <c r="H43" s="26"/>
      <c r="I43" s="26"/>
      <c r="J43" s="26"/>
      <c r="K43" s="26"/>
      <c r="L43" s="25"/>
      <c r="M43" s="26"/>
      <c r="N43" s="47"/>
      <c r="O43" s="26"/>
      <c r="P43" s="26"/>
      <c r="Q43" s="66"/>
      <c r="R43" s="90"/>
      <c r="S43" s="26"/>
      <c r="T43" s="26"/>
      <c r="U43" s="26"/>
      <c r="V43" s="26"/>
      <c r="W43" s="25"/>
      <c r="X43" s="26"/>
      <c r="Y43" s="47"/>
      <c r="Z43" s="26"/>
      <c r="AA43" s="26"/>
      <c r="AB43" s="26"/>
      <c r="AC43" s="26"/>
      <c r="AD43" s="26"/>
      <c r="AE43" s="26"/>
      <c r="AF43" s="26"/>
      <c r="AG43" s="26"/>
      <c r="AH43" s="43"/>
      <c r="AI43" s="1"/>
      <c r="AJ43"/>
      <c r="AK43"/>
    </row>
    <row r="44" spans="1:37">
      <c r="B44" s="26"/>
      <c r="C44" s="47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47"/>
      <c r="O44" s="26"/>
      <c r="P44" s="26"/>
      <c r="Q44" s="66"/>
      <c r="R44" s="90"/>
      <c r="S44" s="26"/>
      <c r="T44" s="26"/>
      <c r="U44" s="26"/>
      <c r="V44" s="26"/>
      <c r="W44" s="26"/>
      <c r="X44" s="26"/>
      <c r="Y44" s="47"/>
      <c r="Z44" s="26"/>
      <c r="AA44" s="26"/>
      <c r="AB44" s="26"/>
      <c r="AC44" s="26"/>
      <c r="AD44" s="26"/>
      <c r="AE44" s="26"/>
      <c r="AF44" s="26"/>
      <c r="AG44" s="26"/>
      <c r="AH44" s="43"/>
      <c r="AI44" s="1"/>
      <c r="AJ44"/>
      <c r="AK44"/>
    </row>
    <row r="45" spans="1:37" ht="15" customHeight="1">
      <c r="B45" s="26"/>
      <c r="C45" s="47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47"/>
      <c r="O45" s="49"/>
      <c r="P45" s="49"/>
      <c r="Q45" s="67"/>
      <c r="R45" s="90"/>
      <c r="S45" s="49"/>
      <c r="T45" s="49"/>
      <c r="U45" s="49"/>
      <c r="V45" s="26"/>
      <c r="W45" s="26"/>
      <c r="X45" s="26"/>
      <c r="Y45" s="47"/>
      <c r="Z45" s="26"/>
      <c r="AA45" s="26"/>
      <c r="AB45" s="26"/>
      <c r="AC45" s="26"/>
      <c r="AD45" s="26"/>
      <c r="AE45" s="26"/>
      <c r="AF45" s="26"/>
      <c r="AG45" s="26"/>
      <c r="AH45" s="43"/>
      <c r="AI45" s="1"/>
      <c r="AJ45"/>
      <c r="AK45"/>
    </row>
    <row r="46" spans="1:37" ht="15" customHeight="1">
      <c r="B46" s="26"/>
      <c r="C46" s="47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47"/>
      <c r="O46" s="49"/>
      <c r="P46" s="49"/>
      <c r="Q46" s="49"/>
      <c r="R46" s="90"/>
      <c r="S46" s="49"/>
      <c r="T46" s="49"/>
      <c r="U46" s="49"/>
      <c r="V46" s="26"/>
      <c r="W46" s="26"/>
      <c r="X46" s="26"/>
      <c r="Y46" s="47"/>
      <c r="Z46" s="26"/>
      <c r="AA46" s="26"/>
      <c r="AB46" s="26"/>
      <c r="AC46" s="26"/>
      <c r="AD46" s="26"/>
      <c r="AE46" s="26"/>
      <c r="AF46" s="26"/>
      <c r="AG46" s="26"/>
      <c r="AH46" s="43"/>
      <c r="AI46" s="1"/>
      <c r="AJ46"/>
      <c r="AK46"/>
    </row>
    <row r="47" spans="1:37" ht="15" customHeight="1">
      <c r="B47" s="26"/>
      <c r="C47" s="47"/>
      <c r="D47" s="26"/>
      <c r="E47" s="26"/>
      <c r="F47" s="26"/>
      <c r="G47" s="26"/>
      <c r="H47" s="26"/>
      <c r="I47" s="26"/>
      <c r="J47" s="26"/>
      <c r="K47" s="26"/>
      <c r="L47" s="46"/>
      <c r="M47" s="26"/>
      <c r="N47" s="47"/>
      <c r="O47" s="49"/>
      <c r="P47" s="49"/>
      <c r="Q47" s="49"/>
      <c r="R47" s="90"/>
      <c r="S47" s="49"/>
      <c r="T47" s="49"/>
      <c r="U47" s="49"/>
      <c r="V47" s="26"/>
      <c r="W47" s="46"/>
      <c r="X47" s="26"/>
      <c r="Y47" s="47"/>
      <c r="Z47" s="26"/>
      <c r="AA47" s="26"/>
      <c r="AB47" s="26"/>
      <c r="AC47" s="26"/>
      <c r="AD47" s="26"/>
      <c r="AE47" s="26"/>
      <c r="AF47" s="26"/>
      <c r="AG47" s="26"/>
      <c r="AH47" s="43"/>
      <c r="AI47" s="1"/>
      <c r="AJ47"/>
      <c r="AK47"/>
    </row>
    <row r="48" spans="1:37" ht="15" customHeight="1"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70" t="str">
        <f>IF('COPA AMERICA'!I55="WF","1º",IF('COPA AMERICA'!I55="","1º",CONCATENATE("1º",CHAR(10),'COPA AMERICA'!I55)))</f>
        <v>1º</v>
      </c>
      <c r="P48" s="470"/>
      <c r="Q48" s="470"/>
      <c r="R48" s="470"/>
      <c r="S48" s="470"/>
      <c r="T48" s="470"/>
      <c r="U48" s="470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1"/>
      <c r="AJ48"/>
      <c r="AK48"/>
    </row>
    <row r="49" spans="2:37" ht="15" customHeight="1"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70"/>
      <c r="P49" s="470"/>
      <c r="Q49" s="470"/>
      <c r="R49" s="470"/>
      <c r="S49" s="470"/>
      <c r="T49" s="470"/>
      <c r="U49" s="470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1"/>
      <c r="AJ49"/>
      <c r="AK49"/>
    </row>
    <row r="50" spans="2:37" ht="15" customHeight="1"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70"/>
      <c r="P50" s="470"/>
      <c r="Q50" s="470"/>
      <c r="R50" s="470"/>
      <c r="S50" s="470"/>
      <c r="T50" s="470"/>
      <c r="U50" s="470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1"/>
      <c r="AJ50"/>
      <c r="AK50"/>
    </row>
    <row r="51" spans="2:37" ht="15" customHeight="1">
      <c r="B51" s="43"/>
      <c r="C51" s="43"/>
      <c r="D51" s="43"/>
      <c r="E51" s="43"/>
      <c r="F51" s="43"/>
      <c r="G51" s="43"/>
      <c r="H51" s="43"/>
      <c r="I51" s="43"/>
      <c r="J51" s="43"/>
      <c r="K51" s="468" t="str">
        <f>IF('COPA AMERICA'!I56="LF","2º",IF('COPA AMERICA'!I56="","2º",CONCATENATE("2º",CHAR(10),'COPA AMERICA'!I56)))</f>
        <v>2º</v>
      </c>
      <c r="L51" s="468"/>
      <c r="M51" s="468"/>
      <c r="N51" s="468"/>
      <c r="O51" s="470"/>
      <c r="P51" s="470"/>
      <c r="Q51" s="470"/>
      <c r="R51" s="470"/>
      <c r="S51" s="470"/>
      <c r="T51" s="470"/>
      <c r="U51" s="470"/>
      <c r="V51" s="50"/>
      <c r="W51" s="26"/>
      <c r="X51" s="26"/>
      <c r="Y51" s="26"/>
      <c r="Z51" s="26"/>
      <c r="AA51" s="26"/>
      <c r="AB51" s="26"/>
      <c r="AC51" s="43"/>
      <c r="AD51" s="43"/>
      <c r="AE51" s="43"/>
      <c r="AF51" s="43"/>
      <c r="AG51" s="43"/>
      <c r="AH51" s="43"/>
      <c r="AI51" s="1"/>
      <c r="AJ51"/>
      <c r="AK51"/>
    </row>
    <row r="52" spans="2:37" ht="15" customHeight="1">
      <c r="B52" s="43"/>
      <c r="C52" s="43"/>
      <c r="D52" s="43"/>
      <c r="E52" s="43"/>
      <c r="F52" s="43"/>
      <c r="G52" s="43"/>
      <c r="H52"/>
      <c r="I52" s="43"/>
      <c r="J52" s="43"/>
      <c r="K52" s="468"/>
      <c r="L52" s="468"/>
      <c r="M52" s="468"/>
      <c r="N52" s="468"/>
      <c r="O52" s="470"/>
      <c r="P52" s="470"/>
      <c r="Q52" s="470"/>
      <c r="R52" s="470"/>
      <c r="S52" s="470"/>
      <c r="T52" s="470"/>
      <c r="U52" s="470"/>
      <c r="V52" s="469" t="str">
        <f>IF('COPA AMERICA'!I57="W34","3º",IF('COPA AMERICA'!I57="","3º",CONCATENATE("3º",CHAR(10),'COPA AMERICA'!I57)))</f>
        <v>3º</v>
      </c>
      <c r="W52" s="469"/>
      <c r="X52" s="469"/>
      <c r="Y52" s="469"/>
      <c r="Z52" s="26"/>
      <c r="AA52" s="26"/>
      <c r="AB52" s="26"/>
      <c r="AC52" s="43"/>
      <c r="AD52" s="43"/>
      <c r="AE52" s="43"/>
      <c r="AF52" s="43"/>
      <c r="AG52" s="43"/>
      <c r="AH52" s="43"/>
      <c r="AI52" s="1"/>
      <c r="AJ52"/>
      <c r="AK52"/>
    </row>
    <row r="53" spans="2:37" ht="15" customHeight="1">
      <c r="B53" s="43"/>
      <c r="C53" s="43"/>
      <c r="D53" s="43"/>
      <c r="E53" s="43"/>
      <c r="F53" s="43"/>
      <c r="G53" s="43"/>
      <c r="H53" s="43"/>
      <c r="I53" s="43"/>
      <c r="J53" s="43"/>
      <c r="K53" s="468"/>
      <c r="L53" s="468"/>
      <c r="M53" s="468"/>
      <c r="N53" s="468"/>
      <c r="O53" s="470"/>
      <c r="P53" s="470"/>
      <c r="Q53" s="470"/>
      <c r="R53" s="470"/>
      <c r="S53" s="470"/>
      <c r="T53" s="470"/>
      <c r="U53" s="470"/>
      <c r="V53" s="469"/>
      <c r="W53" s="469"/>
      <c r="X53" s="469"/>
      <c r="Y53" s="469"/>
      <c r="Z53" s="26"/>
      <c r="AA53" s="26"/>
      <c r="AB53" s="26"/>
      <c r="AC53" s="43"/>
      <c r="AD53" s="43"/>
      <c r="AE53" s="43"/>
      <c r="AF53" s="43"/>
      <c r="AG53" s="43"/>
      <c r="AH53" s="43"/>
      <c r="AI53" s="1"/>
      <c r="AJ53"/>
      <c r="AK53"/>
    </row>
    <row r="54" spans="2:37" ht="15" customHeight="1">
      <c r="B54" s="43"/>
      <c r="C54" s="43"/>
      <c r="D54" s="43"/>
      <c r="E54" s="43"/>
      <c r="F54" s="43"/>
      <c r="G54" s="43"/>
      <c r="H54" s="43"/>
      <c r="I54" s="43"/>
      <c r="J54" s="43"/>
      <c r="K54" s="468"/>
      <c r="L54" s="468"/>
      <c r="M54" s="468"/>
      <c r="N54" s="468"/>
      <c r="O54" s="470"/>
      <c r="P54" s="470"/>
      <c r="Q54" s="470"/>
      <c r="R54" s="470"/>
      <c r="S54" s="470"/>
      <c r="T54" s="470"/>
      <c r="U54" s="470"/>
      <c r="V54" s="469"/>
      <c r="W54" s="469"/>
      <c r="X54" s="469"/>
      <c r="Y54" s="469"/>
      <c r="Z54" s="26"/>
      <c r="AA54" s="26"/>
      <c r="AB54" s="26"/>
      <c r="AC54" s="43"/>
      <c r="AD54" s="43"/>
      <c r="AE54" s="43"/>
      <c r="AF54" s="43"/>
      <c r="AG54" s="43"/>
      <c r="AH54" s="43"/>
      <c r="AI54" s="1"/>
      <c r="AJ54"/>
      <c r="AK54"/>
    </row>
    <row r="55" spans="2:37" ht="15" customHeight="1">
      <c r="B55" s="43"/>
      <c r="C55" s="43"/>
      <c r="D55" s="43"/>
      <c r="E55" s="43"/>
      <c r="F55" s="43"/>
      <c r="G55" s="43"/>
      <c r="H55" s="43"/>
      <c r="I55" s="43"/>
      <c r="J55" s="43"/>
      <c r="K55" s="468"/>
      <c r="L55" s="468"/>
      <c r="M55" s="468"/>
      <c r="N55" s="468"/>
      <c r="O55" s="470"/>
      <c r="P55" s="470"/>
      <c r="Q55" s="470"/>
      <c r="R55" s="470"/>
      <c r="S55" s="470"/>
      <c r="T55" s="470"/>
      <c r="U55" s="470"/>
      <c r="V55" s="469"/>
      <c r="W55" s="469"/>
      <c r="X55" s="469"/>
      <c r="Y55" s="469"/>
      <c r="Z55" s="43"/>
      <c r="AA55" s="43"/>
      <c r="AB55" s="43"/>
      <c r="AC55" s="43"/>
      <c r="AD55" s="43"/>
      <c r="AE55" s="43"/>
      <c r="AF55" s="43"/>
      <c r="AG55" s="43"/>
      <c r="AH55" s="43"/>
      <c r="AI55" s="1"/>
      <c r="AJ55"/>
      <c r="AK55"/>
    </row>
    <row r="56" spans="2:37" ht="15" customHeight="1">
      <c r="B56" s="43"/>
      <c r="C56" s="43"/>
      <c r="D56" s="43"/>
      <c r="E56" s="43"/>
      <c r="F56" s="43"/>
      <c r="G56" s="43"/>
      <c r="H56" s="43"/>
      <c r="I56" s="43"/>
      <c r="J56" s="43"/>
      <c r="K56" s="468"/>
      <c r="L56" s="468"/>
      <c r="M56" s="468"/>
      <c r="N56" s="468"/>
      <c r="O56" s="470"/>
      <c r="P56" s="470"/>
      <c r="Q56" s="470"/>
      <c r="R56" s="470"/>
      <c r="S56" s="470"/>
      <c r="T56" s="470"/>
      <c r="U56" s="470"/>
      <c r="V56" s="469"/>
      <c r="W56" s="469"/>
      <c r="X56" s="469"/>
      <c r="Y56" s="469"/>
      <c r="Z56" s="43"/>
      <c r="AA56" s="43"/>
      <c r="AB56" s="43"/>
      <c r="AC56" s="43"/>
      <c r="AD56" s="43"/>
      <c r="AE56" s="43"/>
      <c r="AF56" s="43"/>
      <c r="AG56" s="43"/>
      <c r="AH56" s="43"/>
      <c r="AI56" s="1"/>
      <c r="AJ56"/>
      <c r="AK56"/>
    </row>
    <row r="57" spans="2:37" ht="15" customHeight="1"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1"/>
      <c r="AJ57"/>
      <c r="AK57"/>
    </row>
    <row r="58" spans="2:37" ht="15" customHeight="1"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1"/>
      <c r="AJ58"/>
      <c r="AK58"/>
    </row>
    <row r="59" spans="2:37"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1"/>
      <c r="AJ59"/>
      <c r="AK59"/>
    </row>
    <row r="60" spans="2:37" ht="30">
      <c r="B60" s="43"/>
      <c r="C60" s="43"/>
      <c r="D60" s="43"/>
      <c r="E60" s="43"/>
      <c r="F60" s="43"/>
      <c r="G60" s="43"/>
      <c r="H60" s="43"/>
      <c r="I60" s="43"/>
      <c r="J60" s="43"/>
      <c r="K60" s="52" t="s">
        <v>158</v>
      </c>
      <c r="L60" s="43"/>
      <c r="M60" s="43"/>
      <c r="N60" s="54" t="str">
        <f>IF('COPA AMERICA'!I59="Escribe un Jugador","Por definir",IF('COPA AMERICA'!I59="","Por definir",'COPA AMERICA'!I59))</f>
        <v>Por definir</v>
      </c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1"/>
      <c r="AJ60"/>
      <c r="AK60"/>
    </row>
    <row r="61" spans="2:37" ht="15" customHeight="1"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5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1"/>
      <c r="AJ61"/>
      <c r="AK61"/>
    </row>
    <row r="62" spans="2:37" ht="28">
      <c r="B62" s="43"/>
      <c r="C62" s="43"/>
      <c r="D62" s="43"/>
      <c r="E62" s="43"/>
      <c r="F62" s="43"/>
      <c r="G62" s="43"/>
      <c r="H62" s="43"/>
      <c r="I62" s="43"/>
      <c r="J62" s="43"/>
      <c r="K62" s="51" t="s">
        <v>159</v>
      </c>
      <c r="L62" s="43"/>
      <c r="M62" s="43"/>
      <c r="N62" s="54" t="str">
        <f>IF('COPA AMERICA'!I60="Escribe un Jugador","Por definir",IF('COPA AMERICA'!I60="","Por definir",'COPA AMERICA'!I60))</f>
        <v>Por definir</v>
      </c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1"/>
      <c r="AJ62"/>
      <c r="AK62"/>
    </row>
    <row r="63" spans="2:37" ht="15" customHeight="1"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5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1"/>
      <c r="AJ63"/>
      <c r="AK63"/>
    </row>
    <row r="64" spans="2:37" ht="30">
      <c r="B64" s="43"/>
      <c r="C64" s="43"/>
      <c r="D64" s="43"/>
      <c r="E64" s="43"/>
      <c r="F64" s="43"/>
      <c r="G64" s="43"/>
      <c r="H64" s="43"/>
      <c r="I64" s="43"/>
      <c r="J64" s="43"/>
      <c r="K64" s="52" t="s">
        <v>160</v>
      </c>
      <c r="L64" s="43"/>
      <c r="M64" s="43"/>
      <c r="N64" s="54" t="str">
        <f>IF('COPA AMERICA'!I61="Escribe un Jugador","Por definir",IF('COPA AMERICA'!I61="","Por definir",'COPA AMERICA'!I61))</f>
        <v>Por definir</v>
      </c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1"/>
      <c r="AJ64"/>
      <c r="AK64"/>
    </row>
    <row r="65" spans="2:34" s="1" customFormat="1" ht="15" hidden="1" customHeight="1"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</row>
    <row r="66" spans="2:34" s="1" customFormat="1" hidden="1"/>
    <row r="67" spans="2:34" s="1" customFormat="1" hidden="1"/>
    <row r="68" spans="2:34" s="1" customFormat="1" hidden="1"/>
    <row r="69" spans="2:34" s="1" customFormat="1" hidden="1"/>
    <row r="70" spans="2:34" s="1" customFormat="1" hidden="1"/>
    <row r="71" spans="2:34" s="1" customFormat="1" hidden="1"/>
    <row r="72" spans="2:34" s="1" customFormat="1" hidden="1"/>
    <row r="73" spans="2:34" s="1" customFormat="1" hidden="1"/>
    <row r="74" spans="2:34" s="1" customFormat="1" hidden="1"/>
    <row r="75" spans="2:34" s="1" customFormat="1" hidden="1"/>
    <row r="76" spans="2:34" s="1" customFormat="1" hidden="1"/>
    <row r="77" spans="2:34" s="1" customFormat="1" hidden="1"/>
    <row r="78" spans="2:34" s="1" customFormat="1" hidden="1"/>
    <row r="79" spans="2:34" s="1" customFormat="1" hidden="1"/>
    <row r="80" spans="2:34" s="1" customFormat="1" hidden="1"/>
    <row r="81" s="1" customFormat="1" hidden="1"/>
    <row r="82" s="1" customFormat="1" hidden="1"/>
  </sheetData>
  <sheetProtection algorithmName="SHA-512" hashValue="SpjryHXaHkRt14Gz5E0FKLaMhY+y9TOymRVfOTTHno6pZreVSIHCW+T8M3DYQFDmWj1pKjrpFkQ5iXOI93l03Q==" saltValue="IZo5b4qnhV5gmTURHBAq6w==" spinCount="100000" formatColumns="0" selectLockedCells="1" selectUnlockedCells="1"/>
  <mergeCells count="33">
    <mergeCell ref="V52:Y56"/>
    <mergeCell ref="O48:U56"/>
    <mergeCell ref="Q7:T7"/>
    <mergeCell ref="Q8:T8"/>
    <mergeCell ref="Q9:T9"/>
    <mergeCell ref="X7:X8"/>
    <mergeCell ref="X9:X10"/>
    <mergeCell ref="X11:X12"/>
    <mergeCell ref="Q11:T11"/>
    <mergeCell ref="Q12:T12"/>
    <mergeCell ref="B11:B12"/>
    <mergeCell ref="B9:B10"/>
    <mergeCell ref="B7:B8"/>
    <mergeCell ref="K51:N56"/>
    <mergeCell ref="M11:M12"/>
    <mergeCell ref="M9:M10"/>
    <mergeCell ref="M7:M8"/>
    <mergeCell ref="F12:I12"/>
    <mergeCell ref="AB10:AE10"/>
    <mergeCell ref="AB11:AE11"/>
    <mergeCell ref="AB12:AE12"/>
    <mergeCell ref="C6:I6"/>
    <mergeCell ref="N6:T6"/>
    <mergeCell ref="Y6:AE6"/>
    <mergeCell ref="F10:I10"/>
    <mergeCell ref="F11:I11"/>
    <mergeCell ref="F7:I7"/>
    <mergeCell ref="F8:I8"/>
    <mergeCell ref="F9:I9"/>
    <mergeCell ref="AB7:AE7"/>
    <mergeCell ref="AB8:AE8"/>
    <mergeCell ref="AB9:AE9"/>
    <mergeCell ref="Q10:T10"/>
  </mergeCells>
  <phoneticPr fontId="23" type="noConversion"/>
  <conditionalFormatting sqref="B42:K43">
    <cfRule type="expression" dxfId="48" priority="123">
      <formula>IF(SUM(#REF!)&gt;0,1,0)</formula>
    </cfRule>
  </conditionalFormatting>
  <conditionalFormatting sqref="B44:K45">
    <cfRule type="expression" dxfId="47" priority="122">
      <formula>IF(SUM(#REF!)&gt;0,1,0)</formula>
    </cfRule>
  </conditionalFormatting>
  <conditionalFormatting sqref="B46:K47">
    <cfRule type="expression" dxfId="46" priority="121">
      <formula>IF(SUM(#REF!)&gt;0,1,0)</formula>
    </cfRule>
  </conditionalFormatting>
  <conditionalFormatting sqref="M42:Q43 S42:V43">
    <cfRule type="expression" dxfId="45" priority="120">
      <formula>IF(SUM(#REF!)&gt;0,1,0)</formula>
    </cfRule>
  </conditionalFormatting>
  <conditionalFormatting sqref="M44:Q44 M45:O45 V45 S44:V44">
    <cfRule type="expression" dxfId="44" priority="119">
      <formula>IF(SUM(#REF!)&gt;0,1,0)</formula>
    </cfRule>
  </conditionalFormatting>
  <conditionalFormatting sqref="M46:N47 V46:V47">
    <cfRule type="expression" dxfId="43" priority="118">
      <formula>IF(SUM(#REF!)&gt;0,1,0)</formula>
    </cfRule>
  </conditionalFormatting>
  <conditionalFormatting sqref="X42:AG43">
    <cfRule type="expression" dxfId="42" priority="117">
      <formula>IF(SUM(#REF!)&gt;0,1,0)</formula>
    </cfRule>
  </conditionalFormatting>
  <conditionalFormatting sqref="X44:AG45">
    <cfRule type="expression" dxfId="41" priority="116">
      <formula>IF(SUM(#REF!)&gt;0,1,0)</formula>
    </cfRule>
  </conditionalFormatting>
  <conditionalFormatting sqref="X46:AG47">
    <cfRule type="expression" dxfId="40" priority="115">
      <formula>IF(SUM(#REF!)&gt;0,1,0)</formula>
    </cfRule>
  </conditionalFormatting>
  <conditionalFormatting sqref="V51:AB51 V52 Z52:AB52">
    <cfRule type="expression" dxfId="39" priority="112">
      <formula>IF(SUM(#REF!)&gt;0,1,0)</formula>
    </cfRule>
  </conditionalFormatting>
  <conditionalFormatting sqref="Z53:AB54">
    <cfRule type="expression" dxfId="38" priority="111">
      <formula>IF(SUM(#REF!)&gt;0,1,0)</formula>
    </cfRule>
  </conditionalFormatting>
  <conditionalFormatting sqref="O48">
    <cfRule type="expression" dxfId="37" priority="110">
      <formula>IF(SUM(#REF!)&gt;0,1,0)</formula>
    </cfRule>
  </conditionalFormatting>
  <conditionalFormatting sqref="Q31:R31">
    <cfRule type="expression" dxfId="36" priority="108">
      <formula>Q31=""</formula>
    </cfRule>
  </conditionalFormatting>
  <conditionalFormatting sqref="D28">
    <cfRule type="expression" dxfId="35" priority="103">
      <formula>D28=""</formula>
    </cfRule>
  </conditionalFormatting>
  <conditionalFormatting sqref="D29">
    <cfRule type="expression" dxfId="34" priority="102">
      <formula>D29=""</formula>
    </cfRule>
  </conditionalFormatting>
  <conditionalFormatting sqref="D38">
    <cfRule type="expression" dxfId="33" priority="101">
      <formula>D38=""</formula>
    </cfRule>
  </conditionalFormatting>
  <conditionalFormatting sqref="D39">
    <cfRule type="expression" dxfId="32" priority="100">
      <formula>D39=""</formula>
    </cfRule>
  </conditionalFormatting>
  <conditionalFormatting sqref="I33">
    <cfRule type="expression" dxfId="31" priority="95">
      <formula>I33=""</formula>
    </cfRule>
  </conditionalFormatting>
  <conditionalFormatting sqref="I34">
    <cfRule type="expression" dxfId="30" priority="94">
      <formula>I34=""</formula>
    </cfRule>
  </conditionalFormatting>
  <conditionalFormatting sqref="AE38">
    <cfRule type="expression" dxfId="29" priority="89">
      <formula>AE38=""</formula>
    </cfRule>
  </conditionalFormatting>
  <conditionalFormatting sqref="AA33">
    <cfRule type="expression" dxfId="28" priority="88">
      <formula>AA33=""</formula>
    </cfRule>
  </conditionalFormatting>
  <conditionalFormatting sqref="AE39">
    <cfRule type="expression" dxfId="27" priority="87">
      <formula>AE39=""</formula>
    </cfRule>
  </conditionalFormatting>
  <conditionalFormatting sqref="AA34">
    <cfRule type="expression" dxfId="26" priority="86">
      <formula>AA34=""</formula>
    </cfRule>
  </conditionalFormatting>
  <conditionalFormatting sqref="AE28">
    <cfRule type="expression" dxfId="25" priority="79">
      <formula>AE28=""</formula>
    </cfRule>
  </conditionalFormatting>
  <conditionalFormatting sqref="AE29">
    <cfRule type="expression" dxfId="24" priority="78">
      <formula>AE29=""</formula>
    </cfRule>
  </conditionalFormatting>
  <conditionalFormatting sqref="Q34">
    <cfRule type="expression" dxfId="23" priority="71">
      <formula>Q34=""</formula>
    </cfRule>
  </conditionalFormatting>
  <conditionalFormatting sqref="R34">
    <cfRule type="expression" dxfId="22" priority="70">
      <formula>R34=""</formula>
    </cfRule>
  </conditionalFormatting>
  <pageMargins left="0.75000000000000011" right="0.75000000000000011" top="1" bottom="1" header="0.5" footer="0.5"/>
  <pageSetup paperSize="9" scale="64" orientation="portrait" horizontalDpi="4294967292" verticalDpi="4294967292"/>
  <ignoredErrors>
    <ignoredError sqref="P34:S34 P31:S31 D28:E29 I33:J34 D38:E39 Z33:AA34 AD38:AE39 AD28:AE29" unlockedFormula="1"/>
  </ignoredErrors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9" id="{00000000-000E-0000-0500-000004000000}">
            <xm:f>IF(ISBLANK('COPA AMERICA'!$J$39),0,1)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E28</xm:sqref>
        </x14:conditionalFormatting>
        <x14:conditionalFormatting xmlns:xm="http://schemas.microsoft.com/office/excel/2006/main">
          <x14:cfRule type="expression" priority="96" id="{00000000-000E-0000-0500-000001000000}">
            <xm:f>IF(ISBLANK('COPA AMERICA'!$M$40),0,1)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E39</xm:sqref>
        </x14:conditionalFormatting>
        <x14:conditionalFormatting xmlns:xm="http://schemas.microsoft.com/office/excel/2006/main">
          <x14:cfRule type="expression" priority="98" id="{00000000-000E-0000-0500-000003000000}">
            <xm:f>IF(ISBLANK('COPA AMERICA'!$M$39),0,1)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E29</xm:sqref>
        </x14:conditionalFormatting>
        <x14:conditionalFormatting xmlns:xm="http://schemas.microsoft.com/office/excel/2006/main">
          <x14:cfRule type="expression" priority="97" id="{00000000-000E-0000-0500-000002000000}">
            <xm:f>IF(ISBLANK('COPA AMERICA'!$J$40),0,1)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E38</xm:sqref>
        </x14:conditionalFormatting>
        <x14:conditionalFormatting xmlns:xm="http://schemas.microsoft.com/office/excel/2006/main">
          <x14:cfRule type="expression" priority="93" id="{E205CE30-FE8B-C645-B0B9-69624947939A}">
            <xm:f>IF(ISBLANK('COPA AMERICA'!$J$45),0,1)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J33</xm:sqref>
        </x14:conditionalFormatting>
        <x14:conditionalFormatting xmlns:xm="http://schemas.microsoft.com/office/excel/2006/main">
          <x14:cfRule type="expression" priority="92" id="{31888649-99CA-E34D-BF78-7352CA24AC75}">
            <xm:f>IF(ISBLANK('COPA AMERICA'!$M$45),0,1)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J34</xm:sqref>
        </x14:conditionalFormatting>
        <x14:conditionalFormatting xmlns:xm="http://schemas.microsoft.com/office/excel/2006/main">
          <x14:cfRule type="expression" priority="85" id="{21AEDF43-81E4-5245-BCD2-7313843CBBF1}">
            <xm:f>IF(ISBLANK('COPA AMERICA'!$J$41),0,1)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AD28</xm:sqref>
        </x14:conditionalFormatting>
        <x14:conditionalFormatting xmlns:xm="http://schemas.microsoft.com/office/excel/2006/main">
          <x14:cfRule type="expression" priority="84" id="{81498234-3B12-5646-8EC3-6E9E7B66338B}">
            <xm:f>IF(ISBLANK('COPA AMERICA'!$J$42),0,1)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AD38</xm:sqref>
        </x14:conditionalFormatting>
        <x14:conditionalFormatting xmlns:xm="http://schemas.microsoft.com/office/excel/2006/main">
          <x14:cfRule type="expression" priority="83" id="{73F880E1-FEC3-1749-AA8E-2D281080D98B}">
            <xm:f>IF(ISBLANK('COPA AMERICA'!$M$41),0,1)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AD29</xm:sqref>
        </x14:conditionalFormatting>
        <x14:conditionalFormatting xmlns:xm="http://schemas.microsoft.com/office/excel/2006/main">
          <x14:cfRule type="expression" priority="82" id="{370B3501-344C-8444-A498-A5D3DC272898}">
            <xm:f>IF(ISBLANK('COPA AMERICA'!$M$42),0,1)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AD39</xm:sqref>
        </x14:conditionalFormatting>
        <x14:conditionalFormatting xmlns:xm="http://schemas.microsoft.com/office/excel/2006/main">
          <x14:cfRule type="expression" priority="81" id="{DFFBB1E8-07B3-7A4C-AE43-820773584BC2}">
            <xm:f>IF(ISBLANK('COPA AMERICA'!$M$46),0,1)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Z34</xm:sqref>
        </x14:conditionalFormatting>
        <x14:conditionalFormatting xmlns:xm="http://schemas.microsoft.com/office/excel/2006/main">
          <x14:cfRule type="expression" priority="80" id="{9641A589-400F-C347-B80A-A0F3D38EC611}">
            <xm:f>IF(ISBLANK('COPA AMERICA'!$J$46),0,1)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Z33</xm:sqref>
        </x14:conditionalFormatting>
        <x14:conditionalFormatting xmlns:xm="http://schemas.microsoft.com/office/excel/2006/main">
          <x14:cfRule type="expression" priority="75" id="{4E38D38E-0C16-CE4B-92A4-70FB485C01CA}">
            <xm:f>IF(ISBLANK('COPA AMERICA'!$J$52),0,1)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P34</xm:sqref>
        </x14:conditionalFormatting>
        <x14:conditionalFormatting xmlns:xm="http://schemas.microsoft.com/office/excel/2006/main">
          <x14:cfRule type="expression" priority="74" id="{67CDE0A3-B49C-F142-9C89-22E55F258E60}">
            <xm:f>IF(ISBLANK('COPA AMERICA'!$J$49),0,1)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P31</xm:sqref>
        </x14:conditionalFormatting>
        <x14:conditionalFormatting xmlns:xm="http://schemas.microsoft.com/office/excel/2006/main">
          <x14:cfRule type="expression" priority="73" id="{9133BD60-4A9B-D248-9E05-83F2DA53FD54}">
            <xm:f>IF(ISBLANK('COPA AMERICA'!$M$52),0,1)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S34</xm:sqref>
        </x14:conditionalFormatting>
        <x14:conditionalFormatting xmlns:xm="http://schemas.microsoft.com/office/excel/2006/main">
          <x14:cfRule type="expression" priority="72" id="{951EC249-7C6E-BB41-9022-FD0ADE593C1C}">
            <xm:f>IF(ISBLANK('COPA AMERICA'!$M$49),0,1)</xm:f>
            <x14:dxf>
              <font>
                <color theme="0"/>
              </font>
              <fill>
                <patternFill patternType="solid">
                  <fgColor indexed="64"/>
                  <bgColor rgb="FFD9D9D9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S31</xm:sqref>
        </x14:conditionalFormatting>
      </x14:conditionalFormattings>
    </ext>
    <ext xmlns:mx="http://schemas.microsoft.com/office/mac/excel/2008/main" uri="{64002731-A6B0-56B0-2670-7721B7C09600}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 enableFormatConditionsCalculation="0">
    <tabColor rgb="FFFFC000"/>
  </sheetPr>
  <dimension ref="A1:MAL28"/>
  <sheetViews>
    <sheetView workbookViewId="0"/>
  </sheetViews>
  <sheetFormatPr baseColWidth="10" defaultColWidth="20.5" defaultRowHeight="15" customHeight="1" x14ac:dyDescent="0"/>
  <cols>
    <col min="1" max="1" width="6.83203125" style="3" bestFit="1" customWidth="1"/>
    <col min="2" max="2" width="16.83203125" style="3" customWidth="1"/>
    <col min="3" max="3" width="11.5" style="3" customWidth="1"/>
    <col min="4" max="4" width="8.83203125" style="3" bestFit="1" customWidth="1"/>
    <col min="5" max="6" width="20.5" style="3"/>
    <col min="7" max="7" width="4.1640625" style="3" bestFit="1" customWidth="1"/>
    <col min="8" max="8" width="20.5" style="3"/>
    <col min="9" max="9" width="0" style="3" hidden="1" customWidth="1"/>
    <col min="10" max="16384" width="20.5" style="3"/>
  </cols>
  <sheetData>
    <row r="1" spans="1:18 8826:8826" ht="15" customHeight="1" thickBot="1">
      <c r="A1" s="255" t="s">
        <v>86</v>
      </c>
      <c r="B1" s="256" t="s">
        <v>87</v>
      </c>
      <c r="C1" s="256" t="s">
        <v>174</v>
      </c>
      <c r="D1" s="256" t="s">
        <v>16</v>
      </c>
      <c r="E1" s="4"/>
      <c r="F1" s="4" t="s">
        <v>96</v>
      </c>
      <c r="G1" s="4"/>
      <c r="H1" s="257"/>
      <c r="I1" s="257"/>
      <c r="J1" s="4"/>
    </row>
    <row r="2" spans="1:18 8826:8826" ht="15" customHeight="1" thickTop="1" thickBot="1">
      <c r="A2" s="258">
        <v>1</v>
      </c>
      <c r="B2" s="259" t="str">
        <f>VLOOKUP(Tabla3[[#This Row],[OK]],$G$2:$H$13,2,0)</f>
        <v>Brasil</v>
      </c>
      <c r="C2" s="260" t="s">
        <v>0</v>
      </c>
      <c r="D2" s="260">
        <v>1</v>
      </c>
      <c r="E2" s="4"/>
      <c r="F2" s="4" t="s">
        <v>0</v>
      </c>
      <c r="G2" s="4">
        <v>1</v>
      </c>
      <c r="H2" s="4" t="s">
        <v>46</v>
      </c>
      <c r="I2" s="4"/>
      <c r="J2" s="4"/>
      <c r="MAL2" s="4" t="s">
        <v>20</v>
      </c>
    </row>
    <row r="3" spans="1:18 8826:8826" ht="15" customHeight="1" thickTop="1" thickBot="1">
      <c r="A3" s="261">
        <v>3</v>
      </c>
      <c r="B3" s="259" t="str">
        <f>VLOOKUP(Tabla3[[#This Row],[OK]],$G$2:$H$13,2,0)</f>
        <v>Bolivia</v>
      </c>
      <c r="C3" s="262" t="s">
        <v>0</v>
      </c>
      <c r="D3" s="262">
        <v>2</v>
      </c>
      <c r="E3" s="4"/>
      <c r="F3" s="4" t="s">
        <v>1</v>
      </c>
      <c r="G3" s="4">
        <v>2</v>
      </c>
      <c r="H3" s="4" t="s">
        <v>45</v>
      </c>
      <c r="I3" s="4"/>
      <c r="J3" s="4"/>
    </row>
    <row r="4" spans="1:18 8826:8826" ht="15" customHeight="1" thickTop="1" thickBot="1">
      <c r="A4" s="263">
        <v>12</v>
      </c>
      <c r="B4" s="259" t="str">
        <f>VLOOKUP(Tabla3[[#This Row],[OK]],$G$2:$H$13,2,0)</f>
        <v>Venezuela</v>
      </c>
      <c r="C4" s="264" t="s">
        <v>0</v>
      </c>
      <c r="D4" s="264">
        <v>3</v>
      </c>
      <c r="E4" s="4"/>
      <c r="F4" s="4" t="s">
        <v>2</v>
      </c>
      <c r="G4" s="4">
        <v>3</v>
      </c>
      <c r="H4" s="4" t="s">
        <v>114</v>
      </c>
      <c r="I4" s="4"/>
      <c r="J4" s="4"/>
    </row>
    <row r="5" spans="1:18 8826:8826" ht="15" customHeight="1" thickTop="1" thickBot="1">
      <c r="A5" s="261">
        <v>10</v>
      </c>
      <c r="B5" s="259" t="str">
        <f>VLOOKUP(Tabla3[[#This Row],[OK]],$G$2:$H$13,2,0)</f>
        <v>Perú</v>
      </c>
      <c r="C5" s="262" t="s">
        <v>0</v>
      </c>
      <c r="D5" s="262">
        <v>4</v>
      </c>
      <c r="E5" s="4"/>
      <c r="F5" s="4"/>
      <c r="G5" s="4">
        <v>4</v>
      </c>
      <c r="H5" s="4" t="s">
        <v>90</v>
      </c>
      <c r="I5" s="4"/>
      <c r="J5" s="4"/>
    </row>
    <row r="6" spans="1:18 8826:8826" ht="15" customHeight="1" thickTop="1" thickBot="1">
      <c r="A6" s="263">
        <v>2</v>
      </c>
      <c r="B6" s="259" t="str">
        <f>VLOOKUP(Tabla3[[#This Row],[OK]],$G$2:$H$13,2,0)</f>
        <v>Argentina</v>
      </c>
      <c r="C6" s="264" t="s">
        <v>1</v>
      </c>
      <c r="D6" s="264">
        <v>5</v>
      </c>
      <c r="E6" s="4"/>
      <c r="F6" s="4"/>
      <c r="G6" s="4">
        <v>5</v>
      </c>
      <c r="H6" s="4" t="s">
        <v>91</v>
      </c>
      <c r="I6" s="4"/>
      <c r="J6" s="4"/>
    </row>
    <row r="7" spans="1:18 8826:8826" ht="15" customHeight="1" thickTop="1" thickBot="1">
      <c r="A7" s="261">
        <v>6</v>
      </c>
      <c r="B7" s="259" t="str">
        <f>VLOOKUP(Tabla3[[#This Row],[OK]],$G$2:$H$13,2,0)</f>
        <v>Colombia</v>
      </c>
      <c r="C7" s="262" t="s">
        <v>1</v>
      </c>
      <c r="D7" s="262">
        <v>6</v>
      </c>
      <c r="E7" s="4"/>
      <c r="F7" s="4"/>
      <c r="G7" s="4">
        <v>6</v>
      </c>
      <c r="H7" s="4" t="s">
        <v>47</v>
      </c>
      <c r="I7" s="4"/>
      <c r="J7" s="4"/>
    </row>
    <row r="8" spans="1:18 8826:8826" ht="15" customHeight="1" thickTop="1" thickBot="1">
      <c r="A8" s="263">
        <v>9</v>
      </c>
      <c r="B8" s="259" t="str">
        <f>VLOOKUP(Tabla3[[#This Row],[OK]],$G$2:$H$13,2,0)</f>
        <v>Paraguay</v>
      </c>
      <c r="C8" s="264" t="s">
        <v>1</v>
      </c>
      <c r="D8" s="264">
        <v>7</v>
      </c>
      <c r="E8" s="4"/>
      <c r="F8" s="4"/>
      <c r="G8" s="4">
        <v>7</v>
      </c>
      <c r="H8" s="4" t="s">
        <v>92</v>
      </c>
      <c r="I8" s="4"/>
      <c r="J8" s="4"/>
    </row>
    <row r="9" spans="1:18 8826:8826" ht="15" customHeight="1" thickTop="1" thickBot="1">
      <c r="A9" s="261">
        <v>4</v>
      </c>
      <c r="B9" s="259" t="str">
        <f>VLOOKUP(Tabla3[[#This Row],[OK]],$G$2:$H$13,2,0)</f>
        <v>Catar</v>
      </c>
      <c r="C9" s="262" t="s">
        <v>1</v>
      </c>
      <c r="D9" s="262">
        <v>8</v>
      </c>
      <c r="E9" s="4"/>
      <c r="F9" s="4"/>
      <c r="G9" s="4">
        <v>8</v>
      </c>
      <c r="H9" s="4" t="s">
        <v>49</v>
      </c>
      <c r="I9" s="4"/>
      <c r="J9" s="4"/>
    </row>
    <row r="10" spans="1:18 8826:8826" ht="15" customHeight="1" thickTop="1" thickBot="1">
      <c r="A10" s="263">
        <v>11</v>
      </c>
      <c r="B10" s="259" t="str">
        <f>VLOOKUP(Tabla3[[#This Row],[OK]],$G$2:$H$13,2,0)</f>
        <v>Uruguay</v>
      </c>
      <c r="C10" s="264" t="s">
        <v>2</v>
      </c>
      <c r="D10" s="264">
        <v>9</v>
      </c>
      <c r="E10" s="4"/>
      <c r="F10" s="4"/>
      <c r="G10" s="4">
        <v>9</v>
      </c>
      <c r="H10" s="4" t="s">
        <v>93</v>
      </c>
      <c r="I10" s="4"/>
      <c r="J10" s="4"/>
    </row>
    <row r="11" spans="1:18 8826:8826" ht="15" customHeight="1" thickTop="1" thickBot="1">
      <c r="A11" s="261">
        <v>7</v>
      </c>
      <c r="B11" s="259" t="str">
        <f>VLOOKUP(Tabla3[[#This Row],[OK]],$G$2:$H$13,2,0)</f>
        <v>Ecuador</v>
      </c>
      <c r="C11" s="262" t="s">
        <v>2</v>
      </c>
      <c r="D11" s="262">
        <v>10</v>
      </c>
      <c r="E11" s="4"/>
      <c r="F11" s="4"/>
      <c r="G11" s="4">
        <v>10</v>
      </c>
      <c r="H11" s="4" t="s">
        <v>48</v>
      </c>
      <c r="I11" s="4"/>
      <c r="J11" s="4"/>
    </row>
    <row r="12" spans="1:18 8826:8826" ht="15" customHeight="1" thickTop="1" thickBot="1">
      <c r="A12" s="263">
        <v>8</v>
      </c>
      <c r="B12" s="259" t="str">
        <f>VLOOKUP(Tabla3[[#This Row],[OK]],$G$2:$H$13,2,0)</f>
        <v>Japón</v>
      </c>
      <c r="C12" s="264" t="s">
        <v>2</v>
      </c>
      <c r="D12" s="264">
        <v>11</v>
      </c>
      <c r="E12" s="4"/>
      <c r="F12" s="4"/>
      <c r="G12" s="4">
        <v>11</v>
      </c>
      <c r="H12" s="4" t="s">
        <v>94</v>
      </c>
      <c r="I12" s="4"/>
      <c r="J12" s="4"/>
    </row>
    <row r="13" spans="1:18 8826:8826" ht="15" customHeight="1" thickTop="1">
      <c r="A13" s="263">
        <v>5</v>
      </c>
      <c r="B13" s="259" t="str">
        <f>VLOOKUP(Tabla3[[#This Row],[OK]],$G$2:$H$13,2,0)</f>
        <v>Chile</v>
      </c>
      <c r="C13" s="264" t="s">
        <v>2</v>
      </c>
      <c r="D13" s="264">
        <v>12</v>
      </c>
      <c r="E13" s="4"/>
      <c r="F13" s="4"/>
      <c r="G13" s="4">
        <v>12</v>
      </c>
      <c r="H13" s="4" t="s">
        <v>95</v>
      </c>
      <c r="I13" s="4"/>
      <c r="J13" s="4"/>
    </row>
    <row r="14" spans="1:18 8826:8826" ht="15" customHeight="1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8 8826:8826" ht="1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170"/>
      <c r="L15" s="170"/>
      <c r="N15" s="170"/>
      <c r="O15" s="170"/>
      <c r="P15" s="170"/>
      <c r="Q15" s="170"/>
      <c r="R15" s="170" t="s">
        <v>169</v>
      </c>
    </row>
    <row r="16" spans="1:18 8826:8826" ht="15" customHeight="1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331 8826:8826" ht="15" customHeight="1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331 8826:8826" ht="15" customHeight="1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331 8826:8826" ht="15" customHeight="1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331 8826:882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331 8826:8826" ht="15" customHeight="1">
      <c r="A21" s="4"/>
      <c r="B21" s="4"/>
      <c r="C21" s="4"/>
      <c r="D21" s="4"/>
      <c r="E21" s="4"/>
      <c r="F21" s="4"/>
      <c r="G21" s="4"/>
      <c r="H21" s="4"/>
      <c r="I21" s="4"/>
      <c r="J21" s="4"/>
    </row>
    <row r="28" spans="1:331 8826:8826" ht="15" customHeight="1">
      <c r="LS28" s="4" t="s">
        <v>20</v>
      </c>
      <c r="MAL28" s="4" t="s">
        <v>20</v>
      </c>
    </row>
  </sheetData>
  <sheetProtection algorithmName="SHA-512" hashValue="IlmYvhDXkBdRdV6yKK/YzfRvUUY4N+WuRDEwsvQE1t6B+4Yl+18yikGk4B3NWQGhI40odzm92TmbTspHTN+Khg==" saltValue="23QWhKivWkSrp4cJwWeNMw==" spinCount="100000" selectLockedCells="1" selectUnlockedCells="1"/>
  <pageMargins left="0.7" right="0.7" top="0.75" bottom="0.75" header="0.3" footer="0.3"/>
  <drawing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 enableFormatConditionsCalculation="0"/>
  <dimension ref="A1:N18"/>
  <sheetViews>
    <sheetView showRowColHeaders="0" workbookViewId="0">
      <selection activeCell="E14" sqref="E14"/>
    </sheetView>
  </sheetViews>
  <sheetFormatPr baseColWidth="10" defaultColWidth="10.83203125" defaultRowHeight="14" x14ac:dyDescent="0"/>
  <cols>
    <col min="1" max="1" width="6" style="1" customWidth="1"/>
    <col min="2" max="2" width="7.5" style="1" customWidth="1"/>
    <col min="3" max="6" width="10.83203125" style="1"/>
    <col min="7" max="7" width="39.6640625" style="1" customWidth="1"/>
    <col min="8" max="16384" width="10.83203125" style="1"/>
  </cols>
  <sheetData>
    <row r="1" spans="1:14">
      <c r="A1" s="2"/>
      <c r="B1" s="2"/>
      <c r="C1" s="11"/>
      <c r="D1" s="11"/>
      <c r="E1" s="11"/>
      <c r="F1" s="11"/>
      <c r="G1" s="11"/>
    </row>
    <row r="2" spans="1:14">
      <c r="A2" s="12"/>
      <c r="B2" s="13"/>
      <c r="C2" s="14"/>
      <c r="D2" s="14"/>
      <c r="E2" s="14"/>
      <c r="F2" s="14"/>
      <c r="G2" s="14"/>
    </row>
    <row r="3" spans="1:14">
      <c r="A3" s="2"/>
      <c r="B3" s="471"/>
      <c r="C3" s="471"/>
      <c r="D3" s="471"/>
      <c r="E3" s="471"/>
      <c r="F3" s="471"/>
      <c r="G3" s="471"/>
      <c r="I3" s="471"/>
      <c r="J3" s="471"/>
      <c r="K3" s="471"/>
      <c r="L3" s="471"/>
      <c r="M3" s="471"/>
      <c r="N3" s="471"/>
    </row>
    <row r="4" spans="1:14">
      <c r="A4" s="2"/>
      <c r="B4" s="471"/>
      <c r="C4" s="471"/>
      <c r="D4" s="471"/>
      <c r="E4" s="471"/>
      <c r="F4" s="471"/>
      <c r="G4" s="471"/>
      <c r="I4" s="471"/>
      <c r="J4" s="471"/>
      <c r="K4" s="471"/>
      <c r="L4" s="471"/>
      <c r="M4" s="471"/>
      <c r="N4" s="471"/>
    </row>
    <row r="5" spans="1:14">
      <c r="A5" s="2"/>
      <c r="B5" s="471"/>
      <c r="C5" s="471"/>
      <c r="D5" s="471"/>
      <c r="E5" s="471"/>
      <c r="F5" s="471"/>
      <c r="G5" s="471"/>
      <c r="I5" s="471"/>
      <c r="J5" s="471"/>
      <c r="K5" s="471"/>
      <c r="L5" s="471"/>
      <c r="M5" s="471"/>
      <c r="N5" s="471"/>
    </row>
    <row r="6" spans="1:14">
      <c r="A6" s="2"/>
      <c r="B6" s="471"/>
      <c r="C6" s="471"/>
      <c r="D6" s="471"/>
      <c r="E6" s="471"/>
      <c r="F6" s="471"/>
      <c r="G6" s="471"/>
      <c r="I6" s="471"/>
      <c r="J6" s="471"/>
      <c r="K6" s="471"/>
      <c r="L6" s="471"/>
      <c r="M6" s="471"/>
      <c r="N6" s="471"/>
    </row>
    <row r="7" spans="1:14">
      <c r="A7" s="2"/>
      <c r="B7" s="471"/>
      <c r="C7" s="471"/>
      <c r="D7" s="471"/>
      <c r="E7" s="471"/>
      <c r="F7" s="471"/>
      <c r="G7" s="471"/>
      <c r="I7" s="471"/>
      <c r="J7" s="471"/>
      <c r="K7" s="471"/>
      <c r="L7" s="471"/>
      <c r="M7" s="471"/>
      <c r="N7" s="471"/>
    </row>
    <row r="8" spans="1:14">
      <c r="A8" s="2"/>
      <c r="B8" s="471"/>
      <c r="C8" s="471"/>
      <c r="D8" s="471"/>
      <c r="E8" s="471"/>
      <c r="F8" s="471"/>
      <c r="G8" s="471"/>
      <c r="I8" s="471"/>
      <c r="J8" s="471"/>
      <c r="K8" s="471"/>
      <c r="L8" s="471"/>
      <c r="M8" s="471"/>
      <c r="N8" s="471"/>
    </row>
    <row r="9" spans="1:14">
      <c r="A9" s="2"/>
      <c r="B9" s="471"/>
      <c r="C9" s="471"/>
      <c r="D9" s="471"/>
      <c r="E9" s="471"/>
      <c r="F9" s="471"/>
      <c r="G9" s="471"/>
      <c r="I9" s="471"/>
      <c r="J9" s="471"/>
      <c r="K9" s="471"/>
      <c r="L9" s="471"/>
      <c r="M9" s="471"/>
      <c r="N9" s="471"/>
    </row>
    <row r="10" spans="1:14">
      <c r="A10" s="2"/>
      <c r="B10" s="471"/>
      <c r="C10" s="471"/>
      <c r="D10" s="471"/>
      <c r="E10" s="471"/>
      <c r="F10" s="471"/>
      <c r="G10" s="471"/>
      <c r="I10" s="471"/>
      <c r="J10" s="471"/>
      <c r="K10" s="471"/>
      <c r="L10" s="471"/>
      <c r="M10" s="471"/>
      <c r="N10" s="471"/>
    </row>
    <row r="11" spans="1:14">
      <c r="A11" s="2"/>
      <c r="B11" s="471"/>
      <c r="C11" s="471"/>
      <c r="D11" s="471"/>
      <c r="E11" s="471"/>
      <c r="F11" s="471"/>
      <c r="G11" s="471"/>
      <c r="I11" s="471"/>
      <c r="J11" s="471"/>
      <c r="K11" s="471"/>
      <c r="L11" s="471"/>
      <c r="M11" s="471"/>
      <c r="N11" s="471"/>
    </row>
    <row r="12" spans="1:14">
      <c r="A12" s="2"/>
      <c r="B12" s="471"/>
      <c r="C12" s="471"/>
      <c r="D12" s="471"/>
      <c r="E12" s="471"/>
      <c r="F12" s="471"/>
      <c r="G12" s="471"/>
      <c r="I12" s="471"/>
      <c r="J12" s="471"/>
      <c r="K12" s="471"/>
      <c r="L12" s="471"/>
      <c r="M12" s="471"/>
      <c r="N12" s="471"/>
    </row>
    <row r="13" spans="1:14">
      <c r="A13" s="2"/>
      <c r="B13" s="15"/>
      <c r="C13" s="15"/>
      <c r="D13" s="15"/>
      <c r="E13" s="15"/>
      <c r="F13" s="15"/>
      <c r="G13" s="15"/>
    </row>
    <row r="14" spans="1:14">
      <c r="A14" s="2"/>
      <c r="B14" s="16"/>
      <c r="C14" s="17"/>
      <c r="D14" s="18"/>
      <c r="E14" s="18"/>
      <c r="F14" s="15"/>
      <c r="G14" s="15"/>
    </row>
    <row r="15" spans="1:14">
      <c r="A15" s="2"/>
      <c r="B15" s="14"/>
      <c r="C15" s="14"/>
      <c r="D15" s="14"/>
      <c r="E15" s="14"/>
      <c r="F15" s="11"/>
      <c r="G15" s="11"/>
    </row>
    <row r="16" spans="1:14">
      <c r="A16" s="2"/>
      <c r="B16" s="19"/>
      <c r="C16" s="12"/>
      <c r="D16" s="12"/>
      <c r="E16" s="1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0"/>
      <c r="C18" s="2"/>
      <c r="D18" s="2"/>
      <c r="E18" s="2"/>
      <c r="F18" s="2"/>
      <c r="G18" s="2"/>
    </row>
  </sheetData>
  <sheetProtection algorithmName="SHA-512" hashValue="hnQuXMPLhyYW5DNvWPPyfmwOfHa7nAOsnGVH7p8aneMRSXy2UKYBVdY7CmODdOOSKmrzcquFGmXGEkSl7AbtDQ==" saltValue="iWiJRyUw4KDK5O4euU/Keg==" spinCount="100000" selectLockedCells="1" selectUnlockedCells="1"/>
  <mergeCells count="2">
    <mergeCell ref="B3:G12"/>
    <mergeCell ref="I3:N1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COPA AMERICA</vt:lpstr>
      <vt:lpstr>Apuesta</vt:lpstr>
      <vt:lpstr>Print</vt:lpstr>
      <vt:lpstr>Creditos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matejero</dc:creator>
  <cp:lastModifiedBy>Daniel Núñez</cp:lastModifiedBy>
  <cp:lastPrinted>2019-06-12T18:07:07Z</cp:lastPrinted>
  <dcterms:created xsi:type="dcterms:W3CDTF">2015-10-31T09:41:54Z</dcterms:created>
  <dcterms:modified xsi:type="dcterms:W3CDTF">2019-06-25T20:58:47Z</dcterms:modified>
</cp:coreProperties>
</file>